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7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8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4.xml" ContentType="application/vnd.openxmlformats-officedocument.drawing+xml"/>
  <Override PartName="/xl/comments1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5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EGUIMIENTOS_PLAN_DE_ACCION_2021\SEG_PLAN_DE_ACCIÓN_3T_2021\"/>
    </mc:Choice>
  </mc:AlternateContent>
  <bookViews>
    <workbookView xWindow="-105" yWindow="-105" windowWidth="19425" windowHeight="10425" tabRatio="793" firstSheet="5" activeTab="11"/>
  </bookViews>
  <sheets>
    <sheet name=" CONSOLIDADO GENERAL" sheetId="33" r:id="rId1"/>
    <sheet name=" CONSOLIDADO NIVEL CENTRAL " sheetId="48" r:id="rId2"/>
    <sheet name="1.DESPACHO" sheetId="1" r:id="rId3"/>
    <sheet name="2.1 GOBIERNO Y CONVIVENCIA" sheetId="19" r:id="rId4"/>
    <sheet name="2.2 DESARROLLO SOCIAL" sheetId="25" r:id="rId5"/>
    <sheet name="2.3 SALUD" sheetId="23" r:id="rId6"/>
    <sheet name="2.4 DESARROLLO ECONOMICO" sheetId="26" r:id="rId7"/>
    <sheet name="2.5 EDUCACION" sheetId="21" r:id="rId8"/>
    <sheet name="2.6 INFRAESTRUCTURA" sheetId="22" r:id="rId9"/>
    <sheet name="2.7 TRANSITO" sheetId="24" r:id="rId10"/>
    <sheet name="2.8 TICS" sheetId="30" r:id="rId11"/>
    <sheet name="2.9 HACIENDA" sheetId="27" r:id="rId12"/>
    <sheet name="3.1 FORTALECIMIENTO INSTITUCION" sheetId="20" r:id="rId13"/>
    <sheet name="3.2 JURIDICA" sheetId="18" r:id="rId14"/>
    <sheet name="3.4 BIENES Y SUMINISTROS" sheetId="29" r:id="rId15"/>
    <sheet name="3.5 PLANEACION" sheetId="17" r:id="rId16"/>
    <sheet name="3.6 CONTROL INTERNO" sheetId="28" r:id="rId17"/>
    <sheet name="3.7. DACID" sheetId="44" r:id="rId18"/>
    <sheet name="4.1 FOMVIVIENDA" sheetId="38" r:id="rId19"/>
    <sheet name="4.2 EDUA" sheetId="40" r:id="rId20"/>
    <sheet name="4.3 CORPOCULTURA" sheetId="32" r:id="rId21"/>
    <sheet name="4.4 IMDERA" sheetId="31" r:id="rId22"/>
    <sheet name="4.5 EPA" sheetId="39" r:id="rId23"/>
    <sheet name="4.6 AMABLE" sheetId="35" r:id="rId24"/>
    <sheet name="4.7 REDSALUD" sheetId="4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0" hidden="1">' CONSOLIDADO GENERAL'!$A$2:$G$28</definedName>
    <definedName name="_xlnm._FilterDatabase" localSheetId="1" hidden="1">' CONSOLIDADO NIVEL CENTRAL '!$A$2:$G$21</definedName>
    <definedName name="_xlnm._FilterDatabase" localSheetId="3" hidden="1">'2.1 GOBIERNO Y CONVIVENCIA'!$G$2:$G$31</definedName>
    <definedName name="_xlnm._FilterDatabase" localSheetId="4" hidden="1">'2.2 DESARROLLO SOCIAL'!$A$3:$G$23</definedName>
    <definedName name="_xlnm._FilterDatabase" localSheetId="5" hidden="1">'2.3 SALUD'!$G$2:$G$41</definedName>
    <definedName name="_xlnm._FilterDatabase" localSheetId="6" hidden="1">'2.4 DESARROLLO ECONOMICO'!$A$2:$G$9</definedName>
    <definedName name="_xlnm._FilterDatabase" localSheetId="7" hidden="1">'2.5 EDUCACION'!$A$3:$H$43</definedName>
    <definedName name="_xlnm._FilterDatabase" localSheetId="8" hidden="1">'2.6 INFRAESTRUCTURA'!$A$2:$G$23</definedName>
    <definedName name="_xlnm._FilterDatabase" localSheetId="10" hidden="1">'2.8 TICS'!$A$2:$G$10</definedName>
    <definedName name="_xlnm._FilterDatabase" localSheetId="15" hidden="1">'3.5 PLANEACION'!$B$2:$G$23</definedName>
    <definedName name="_xlnm._FilterDatabase" localSheetId="22" hidden="1">'4.5 EPA'!$A$3:$R$61</definedName>
    <definedName name="_xlnm.Print_Area" localSheetId="0">' CONSOLIDADO GENERAL'!$B$1:$G$67</definedName>
    <definedName name="_xlnm.Print_Area" localSheetId="1">' CONSOLIDADO NIVEL CENTRAL '!$B$1:$G$62</definedName>
    <definedName name="_xlnm.Print_Area" localSheetId="2">'1.DESPACHO'!$B$1:$G$42</definedName>
    <definedName name="_xlnm.Print_Area" localSheetId="3">'2.1 GOBIERNO Y CONVIVENCIA'!$B$2:$G$47</definedName>
    <definedName name="_xlnm.Print_Area" localSheetId="4">'2.2 DESARROLLO SOCIAL'!$B$2:$G$53</definedName>
    <definedName name="_xlnm.Print_Area" localSheetId="5">'2.3 SALUD'!$B$2:$G$58</definedName>
    <definedName name="_xlnm.Print_Area" localSheetId="6">'2.4 DESARROLLO ECONOMICO'!$B$1:$G$34</definedName>
    <definedName name="_xlnm.Print_Area" localSheetId="7">'2.5 EDUCACION'!$B$2:$G$73</definedName>
    <definedName name="_xlnm.Print_Area" localSheetId="8">'2.6 INFRAESTRUCTURA'!$B$1:$G$53</definedName>
    <definedName name="_xlnm.Print_Area" localSheetId="9">'2.7 TRANSITO'!$B$1:$G$38</definedName>
    <definedName name="_xlnm.Print_Area" localSheetId="10">'2.8 TICS'!$B$1:$G$42</definedName>
    <definedName name="_xlnm.Print_Area" localSheetId="11">'2.9 HACIENDA'!$B$1:$G$37</definedName>
    <definedName name="_xlnm.Print_Area" localSheetId="12">'3.1 FORTALECIMIENTO INSTITUCION'!$B$1:$G$38</definedName>
    <definedName name="_xlnm.Print_Area" localSheetId="13">'3.2 JURIDICA'!$B$1:$G$36</definedName>
    <definedName name="_xlnm.Print_Area" localSheetId="14">'3.4 BIENES Y SUMINISTROS'!$B$1:$G$38</definedName>
    <definedName name="_xlnm.Print_Area" localSheetId="15">'3.5 PLANEACION'!$B$1:$G$60</definedName>
    <definedName name="_xlnm.Print_Area" localSheetId="16">'3.6 CONTROL INTERNO'!$B$1:$G$37</definedName>
    <definedName name="_xlnm.Print_Area" localSheetId="17">'3.7. DACID'!$B$1:$G$34</definedName>
    <definedName name="_xlnm.Print_Area" localSheetId="18">'4.1 FOMVIVIENDA'!$A$1:$G$37</definedName>
    <definedName name="_xlnm.Print_Area" localSheetId="19">'4.2 EDUA'!$B$1:$G$37</definedName>
    <definedName name="_xlnm.Print_Area" localSheetId="20">'4.3 CORPOCULTURA'!$B$1:$G$58</definedName>
    <definedName name="_xlnm.Print_Area" localSheetId="21">'4.4 IMDERA'!$B$1:$G$39</definedName>
    <definedName name="_xlnm.Print_Area" localSheetId="22">'4.5 EPA'!$B$2:$G$96</definedName>
    <definedName name="_xlnm.Print_Area" localSheetId="23">'4.6 AMABLE'!$B$1:$G$48</definedName>
    <definedName name="_xlnm.Print_Area" localSheetId="24">'4.7 REDSALUD'!$B$1:$G$37</definedName>
    <definedName name="_xlnm.Print_Titles" localSheetId="0">' CONSOLIDADO GENERAL'!$1:$1</definedName>
    <definedName name="_xlnm.Print_Titles" localSheetId="1">' CONSOLIDADO NIVEL CENTRAL '!$1:$1</definedName>
    <definedName name="_xlnm.Print_Titles" localSheetId="2">'1.DESPACHO'!$1:$1</definedName>
    <definedName name="_xlnm.Print_Titles" localSheetId="3">'2.1 GOBIERNO Y CONVIVENCIA'!$2:$2</definedName>
    <definedName name="_xlnm.Print_Titles" localSheetId="4">'2.2 DESARROLLO SOCIAL'!$2:$2</definedName>
    <definedName name="_xlnm.Print_Titles" localSheetId="5">'2.3 SALUD'!$2:$3</definedName>
    <definedName name="_xlnm.Print_Titles" localSheetId="6">'2.4 DESARROLLO ECONOMICO'!$1:$1</definedName>
    <definedName name="_xlnm.Print_Titles" localSheetId="7">'2.5 EDUCACION'!$2:$3</definedName>
    <definedName name="_xlnm.Print_Titles" localSheetId="9">'2.7 TRANSITO'!$1:$1</definedName>
    <definedName name="_xlnm.Print_Titles" localSheetId="10">'2.8 TICS'!$1:$1</definedName>
    <definedName name="_xlnm.Print_Titles" localSheetId="11">'2.9 HACIENDA'!$1:$1</definedName>
    <definedName name="_xlnm.Print_Titles" localSheetId="12">'3.1 FORTALECIMIENTO INSTITUCION'!$1:$1</definedName>
    <definedName name="_xlnm.Print_Titles" localSheetId="13">'3.2 JURIDICA'!$1:$1</definedName>
    <definedName name="_xlnm.Print_Titles" localSheetId="14">'3.4 BIENES Y SUMINISTROS'!$1:$1</definedName>
    <definedName name="_xlnm.Print_Titles" localSheetId="15">'3.5 PLANEACION'!$1:$1</definedName>
    <definedName name="_xlnm.Print_Titles" localSheetId="16">'3.6 CONTROL INTERNO'!$1:$1</definedName>
    <definedName name="_xlnm.Print_Titles" localSheetId="17">'3.7. DACID'!$1:$1</definedName>
    <definedName name="_xlnm.Print_Titles" localSheetId="18">'4.1 FOMVIVIENDA'!$1:$1</definedName>
    <definedName name="_xlnm.Print_Titles" localSheetId="19">'4.2 EDUA'!$1:$1</definedName>
    <definedName name="_xlnm.Print_Titles" localSheetId="21">'4.4 IMDERA'!$1:$1</definedName>
    <definedName name="_xlnm.Print_Titles" localSheetId="22">'4.5 EPA'!$2:$3</definedName>
    <definedName name="_xlnm.Print_Titles" localSheetId="23">'4.6 AMABLE'!$1:$1</definedName>
    <definedName name="_xlnm.Print_Titles" localSheetId="24">'4.7 REDSALUD'!$1:$1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7" l="1"/>
  <c r="F3" i="27"/>
  <c r="E4" i="27"/>
  <c r="F4" i="27"/>
  <c r="E5" i="27"/>
  <c r="F5" i="27"/>
  <c r="F6" i="20" l="1"/>
  <c r="G6" i="20" s="1"/>
  <c r="E6" i="20"/>
  <c r="D6" i="20"/>
  <c r="D18" i="19"/>
  <c r="D7" i="29"/>
  <c r="E7" i="29"/>
  <c r="E41" i="21"/>
  <c r="F41" i="21" l="1"/>
  <c r="G41" i="21"/>
  <c r="G15" i="21"/>
  <c r="F7" i="29" l="1"/>
  <c r="G7" i="29"/>
  <c r="G40" i="21"/>
  <c r="E3" i="26" l="1"/>
  <c r="F3" i="26"/>
  <c r="E4" i="26"/>
  <c r="F4" i="26"/>
  <c r="E5" i="26"/>
  <c r="F5" i="26"/>
  <c r="E6" i="26"/>
  <c r="F6" i="26"/>
  <c r="E3" i="38" l="1"/>
  <c r="F3" i="38"/>
  <c r="E4" i="38"/>
  <c r="F4" i="38"/>
  <c r="E5" i="38"/>
  <c r="F5" i="38"/>
  <c r="D3" i="44"/>
  <c r="D4" i="44"/>
  <c r="D9" i="1"/>
  <c r="D3" i="30"/>
  <c r="D4" i="30"/>
  <c r="D5" i="30"/>
  <c r="D6" i="30"/>
  <c r="D7" i="30"/>
  <c r="E4" i="40"/>
  <c r="F4" i="40"/>
  <c r="D4" i="40"/>
  <c r="D3" i="40"/>
  <c r="C6" i="38"/>
  <c r="C19" i="33"/>
  <c r="D6" i="38"/>
  <c r="D19" i="33"/>
  <c r="E6" i="38"/>
  <c r="E19" i="33"/>
  <c r="F6" i="38"/>
  <c r="F19" i="33"/>
  <c r="G6" i="38"/>
  <c r="G19" i="33"/>
  <c r="C26" i="32"/>
  <c r="C21" i="33"/>
  <c r="E19" i="32"/>
  <c r="E22" i="32"/>
  <c r="E24" i="32"/>
  <c r="E26" i="32"/>
  <c r="E21" i="33"/>
  <c r="F16" i="32"/>
  <c r="F26" i="32"/>
  <c r="G26" i="32" s="1"/>
  <c r="G21" i="33" s="1"/>
  <c r="F21" i="33"/>
  <c r="C8" i="31"/>
  <c r="C22" i="33"/>
  <c r="D8" i="31"/>
  <c r="D22" i="33"/>
  <c r="E8" i="31"/>
  <c r="E22" i="33"/>
  <c r="F8" i="31"/>
  <c r="F22" i="33"/>
  <c r="G8" i="31"/>
  <c r="G22" i="33"/>
  <c r="C24" i="33"/>
  <c r="E3" i="35"/>
  <c r="E9" i="35"/>
  <c r="E12" i="35"/>
  <c r="E24" i="33"/>
  <c r="F3" i="35"/>
  <c r="F9" i="35"/>
  <c r="F12" i="35"/>
  <c r="F24" i="33"/>
  <c r="G12" i="35"/>
  <c r="G24" i="33"/>
  <c r="C25" i="33"/>
  <c r="D4" i="45"/>
  <c r="D25" i="33"/>
  <c r="E25" i="33"/>
  <c r="F25" i="33"/>
  <c r="G25" i="33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F70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" i="20"/>
  <c r="C12" i="33" s="1"/>
  <c r="C12" i="48"/>
  <c r="D12" i="48"/>
  <c r="C13" i="48"/>
  <c r="D5" i="18"/>
  <c r="D13" i="48"/>
  <c r="C7" i="29"/>
  <c r="C15" i="48"/>
  <c r="D15" i="48"/>
  <c r="C23" i="17"/>
  <c r="C16" i="48"/>
  <c r="C18" i="48"/>
  <c r="C18" i="19"/>
  <c r="C4" i="33"/>
  <c r="C26" i="23"/>
  <c r="C6" i="33"/>
  <c r="C7" i="26"/>
  <c r="C7" i="33" s="1"/>
  <c r="D7" i="26"/>
  <c r="D7" i="48" s="1"/>
  <c r="D7" i="33"/>
  <c r="E7" i="26"/>
  <c r="E7" i="33" s="1"/>
  <c r="F7" i="26"/>
  <c r="F20" i="26" s="1"/>
  <c r="C8" i="33"/>
  <c r="D41" i="21"/>
  <c r="D8" i="33" s="1"/>
  <c r="C8" i="30"/>
  <c r="C11" i="33" s="1"/>
  <c r="F30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F34" i="17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E8" i="17"/>
  <c r="F8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7" i="17"/>
  <c r="E7" i="17"/>
  <c r="E6" i="17"/>
  <c r="F5" i="17"/>
  <c r="E5" i="17"/>
  <c r="F4" i="17"/>
  <c r="E4" i="17"/>
  <c r="F15" i="17"/>
  <c r="F6" i="17"/>
  <c r="F3" i="17"/>
  <c r="E3" i="17"/>
  <c r="G3" i="44"/>
  <c r="C3" i="44"/>
  <c r="E3" i="44"/>
  <c r="F3" i="44"/>
  <c r="E3" i="30"/>
  <c r="F3" i="30"/>
  <c r="E4" i="30"/>
  <c r="F4" i="30"/>
  <c r="G4" i="30" s="1"/>
  <c r="E6" i="30"/>
  <c r="F6" i="30"/>
  <c r="G6" i="30" s="1"/>
  <c r="E7" i="30"/>
  <c r="F7" i="30"/>
  <c r="G7" i="30" s="1"/>
  <c r="F5" i="30"/>
  <c r="E5" i="30"/>
  <c r="E9" i="23"/>
  <c r="F9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E25" i="23"/>
  <c r="F25" i="23"/>
  <c r="E24" i="23"/>
  <c r="F24" i="23"/>
  <c r="F23" i="23"/>
  <c r="E22" i="23"/>
  <c r="F21" i="23"/>
  <c r="F20" i="23"/>
  <c r="E20" i="23"/>
  <c r="F19" i="23"/>
  <c r="F18" i="23"/>
  <c r="F17" i="23"/>
  <c r="E17" i="23"/>
  <c r="F16" i="23"/>
  <c r="E15" i="23"/>
  <c r="E14" i="23"/>
  <c r="F14" i="23"/>
  <c r="E13" i="23"/>
  <c r="E12" i="23"/>
  <c r="E11" i="23"/>
  <c r="E10" i="23"/>
  <c r="E7" i="23"/>
  <c r="F7" i="23"/>
  <c r="E8" i="23"/>
  <c r="E6" i="23"/>
  <c r="F6" i="23"/>
  <c r="E4" i="23"/>
  <c r="F4" i="23"/>
  <c r="F5" i="23"/>
  <c r="F15" i="23"/>
  <c r="E21" i="23"/>
  <c r="E16" i="23"/>
  <c r="E23" i="23"/>
  <c r="E19" i="23"/>
  <c r="F11" i="23"/>
  <c r="E18" i="23"/>
  <c r="F13" i="23"/>
  <c r="E5" i="23"/>
  <c r="F22" i="23"/>
  <c r="F12" i="23"/>
  <c r="F10" i="23"/>
  <c r="F8" i="23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E16" i="25"/>
  <c r="E15" i="25"/>
  <c r="E11" i="25"/>
  <c r="E9" i="25"/>
  <c r="E8" i="25"/>
  <c r="E7" i="25"/>
  <c r="F4" i="25"/>
  <c r="E4" i="25"/>
  <c r="F19" i="25"/>
  <c r="F13" i="25"/>
  <c r="F12" i="25"/>
  <c r="F10" i="25"/>
  <c r="F8" i="25"/>
  <c r="F6" i="25"/>
  <c r="E5" i="25"/>
  <c r="E20" i="25"/>
  <c r="E18" i="25"/>
  <c r="E17" i="25"/>
  <c r="F14" i="25"/>
  <c r="F20" i="25"/>
  <c r="F7" i="25"/>
  <c r="F15" i="25"/>
  <c r="F16" i="25"/>
  <c r="F18" i="25"/>
  <c r="F5" i="25"/>
  <c r="F9" i="25"/>
  <c r="E13" i="25"/>
  <c r="E19" i="25"/>
  <c r="F17" i="25"/>
  <c r="F11" i="25"/>
  <c r="E4" i="19"/>
  <c r="F4" i="19"/>
  <c r="E5" i="19"/>
  <c r="F5" i="19"/>
  <c r="E6" i="19"/>
  <c r="F6" i="19"/>
  <c r="E7" i="19"/>
  <c r="F7" i="19"/>
  <c r="E8" i="19"/>
  <c r="F8" i="19"/>
  <c r="E9" i="19"/>
  <c r="F9" i="19"/>
  <c r="E10" i="19"/>
  <c r="F10" i="19"/>
  <c r="E11" i="19"/>
  <c r="F11" i="19"/>
  <c r="E12" i="19"/>
  <c r="F12" i="19"/>
  <c r="E13" i="19"/>
  <c r="F13" i="19"/>
  <c r="E14" i="19"/>
  <c r="F14" i="19"/>
  <c r="E15" i="19"/>
  <c r="F15" i="19"/>
  <c r="E16" i="19"/>
  <c r="F16" i="19"/>
  <c r="E17" i="19"/>
  <c r="F17" i="19"/>
  <c r="D7" i="19"/>
  <c r="D8" i="19"/>
  <c r="D9" i="19"/>
  <c r="D10" i="19"/>
  <c r="D11" i="19"/>
  <c r="D12" i="19"/>
  <c r="D13" i="19"/>
  <c r="D14" i="19"/>
  <c r="D15" i="19"/>
  <c r="D16" i="19"/>
  <c r="D17" i="19"/>
  <c r="D4" i="19"/>
  <c r="D6" i="19"/>
  <c r="D5" i="19"/>
  <c r="F4" i="45"/>
  <c r="D11" i="35"/>
  <c r="D3" i="35"/>
  <c r="D4" i="35"/>
  <c r="D5" i="35"/>
  <c r="D7" i="35"/>
  <c r="D10" i="35"/>
  <c r="D9" i="35"/>
  <c r="D8" i="35"/>
  <c r="D6" i="35"/>
  <c r="F17" i="31"/>
  <c r="F36" i="32"/>
  <c r="G10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E4" i="28"/>
  <c r="D6" i="28"/>
  <c r="E5" i="28"/>
  <c r="F5" i="28"/>
  <c r="F3" i="28"/>
  <c r="E3" i="28"/>
  <c r="E5" i="29"/>
  <c r="D3" i="32"/>
  <c r="D26" i="32" s="1"/>
  <c r="D21" i="33" s="1"/>
  <c r="F4" i="28"/>
  <c r="F5" i="29"/>
  <c r="E4" i="29"/>
  <c r="F4" i="29"/>
  <c r="G4" i="29" s="1"/>
  <c r="D7" i="24"/>
  <c r="D6" i="27"/>
  <c r="F4" i="18"/>
  <c r="F5" i="18" s="1"/>
  <c r="E4" i="18"/>
  <c r="E5" i="18" s="1"/>
  <c r="E5" i="20"/>
  <c r="F4" i="20"/>
  <c r="E4" i="20"/>
  <c r="F5" i="20"/>
  <c r="G5" i="20" s="1"/>
  <c r="F23" i="21"/>
  <c r="E23" i="21"/>
  <c r="E7" i="21"/>
  <c r="D23" i="17"/>
  <c r="D21" i="22"/>
  <c r="D9" i="33" s="1"/>
  <c r="F7" i="21"/>
  <c r="G12" i="45"/>
  <c r="G11" i="45"/>
  <c r="G10" i="45"/>
  <c r="F22" i="35"/>
  <c r="G21" i="35"/>
  <c r="G20" i="35"/>
  <c r="G19" i="35"/>
  <c r="F26" i="35"/>
  <c r="E26" i="35"/>
  <c r="G26" i="35"/>
  <c r="G11" i="35"/>
  <c r="G10" i="35"/>
  <c r="G9" i="35"/>
  <c r="G8" i="35"/>
  <c r="G7" i="35"/>
  <c r="G6" i="35"/>
  <c r="G5" i="35"/>
  <c r="G4" i="35"/>
  <c r="G3" i="35"/>
  <c r="G68" i="39"/>
  <c r="G69" i="39"/>
  <c r="D61" i="39"/>
  <c r="D23" i="33"/>
  <c r="C61" i="39"/>
  <c r="F21" i="31"/>
  <c r="E21" i="31"/>
  <c r="G21" i="31"/>
  <c r="G16" i="31"/>
  <c r="G15" i="31"/>
  <c r="G14" i="31"/>
  <c r="G7" i="31"/>
  <c r="G6" i="31"/>
  <c r="G5" i="31"/>
  <c r="G4" i="31"/>
  <c r="G3" i="31"/>
  <c r="G34" i="32"/>
  <c r="G35" i="32"/>
  <c r="G33" i="32"/>
  <c r="E40" i="32"/>
  <c r="G25" i="32"/>
  <c r="G24" i="32"/>
  <c r="G23" i="32"/>
  <c r="G22" i="32"/>
  <c r="G21" i="32"/>
  <c r="G20" i="32"/>
  <c r="G19" i="32"/>
  <c r="G18" i="32"/>
  <c r="G16" i="32"/>
  <c r="G15" i="32"/>
  <c r="G11" i="32"/>
  <c r="G9" i="32"/>
  <c r="G8" i="32"/>
  <c r="G7" i="32"/>
  <c r="G6" i="32"/>
  <c r="G5" i="32"/>
  <c r="G4" i="32"/>
  <c r="G3" i="32"/>
  <c r="E5" i="40"/>
  <c r="E18" i="40"/>
  <c r="G13" i="40"/>
  <c r="G12" i="40"/>
  <c r="G11" i="40"/>
  <c r="F5" i="40"/>
  <c r="F20" i="33"/>
  <c r="E20" i="33"/>
  <c r="D5" i="40"/>
  <c r="D20" i="33"/>
  <c r="G4" i="40"/>
  <c r="G14" i="38"/>
  <c r="G13" i="38"/>
  <c r="G12" i="38"/>
  <c r="F19" i="38"/>
  <c r="E19" i="38"/>
  <c r="G5" i="38"/>
  <c r="G4" i="38"/>
  <c r="G3" i="38"/>
  <c r="F13" i="44"/>
  <c r="G10" i="44"/>
  <c r="F4" i="44"/>
  <c r="F17" i="44"/>
  <c r="E4" i="44"/>
  <c r="E17" i="44"/>
  <c r="G15" i="28"/>
  <c r="G14" i="28"/>
  <c r="G13" i="28"/>
  <c r="F6" i="28"/>
  <c r="F17" i="48" s="1"/>
  <c r="D17" i="33"/>
  <c r="C6" i="28"/>
  <c r="G4" i="28"/>
  <c r="G3" i="28"/>
  <c r="F23" i="17"/>
  <c r="E23" i="17"/>
  <c r="E38" i="17"/>
  <c r="G22" i="17"/>
  <c r="G21" i="17"/>
  <c r="G20" i="17"/>
  <c r="G19" i="17"/>
  <c r="G18" i="17"/>
  <c r="G17" i="17"/>
  <c r="G16" i="17"/>
  <c r="G12" i="17"/>
  <c r="G11" i="17"/>
  <c r="G10" i="17"/>
  <c r="G9" i="17"/>
  <c r="G8" i="17"/>
  <c r="G7" i="17"/>
  <c r="G6" i="17"/>
  <c r="G5" i="17"/>
  <c r="G4" i="17"/>
  <c r="G3" i="17"/>
  <c r="F16" i="29"/>
  <c r="G15" i="29"/>
  <c r="G14" i="29"/>
  <c r="G13" i="29"/>
  <c r="G6" i="29"/>
  <c r="F6" i="27"/>
  <c r="G6" i="27" s="1"/>
  <c r="E6" i="27"/>
  <c r="E14" i="33" s="1"/>
  <c r="F19" i="27"/>
  <c r="E19" i="27"/>
  <c r="F15" i="27"/>
  <c r="G13" i="27"/>
  <c r="C6" i="27"/>
  <c r="G5" i="27"/>
  <c r="G4" i="27"/>
  <c r="G3" i="27"/>
  <c r="F14" i="18"/>
  <c r="G13" i="18"/>
  <c r="G12" i="18"/>
  <c r="G11" i="18"/>
  <c r="G4" i="18"/>
  <c r="F15" i="20"/>
  <c r="G13" i="20"/>
  <c r="F17" i="30"/>
  <c r="G16" i="30" s="1"/>
  <c r="F16" i="24"/>
  <c r="G15" i="24"/>
  <c r="F7" i="24"/>
  <c r="F20" i="24"/>
  <c r="E7" i="24"/>
  <c r="E20" i="24"/>
  <c r="D10" i="48"/>
  <c r="C7" i="24"/>
  <c r="G6" i="24"/>
  <c r="G5" i="24"/>
  <c r="G4" i="24"/>
  <c r="G3" i="24"/>
  <c r="D9" i="48"/>
  <c r="C21" i="22"/>
  <c r="C9" i="48" s="1"/>
  <c r="F50" i="21"/>
  <c r="G48" i="21"/>
  <c r="G38" i="21"/>
  <c r="G37" i="21"/>
  <c r="G29" i="21"/>
  <c r="G28" i="21"/>
  <c r="G27" i="21"/>
  <c r="G26" i="21"/>
  <c r="G25" i="21"/>
  <c r="G24" i="21"/>
  <c r="G22" i="21"/>
  <c r="G21" i="21"/>
  <c r="G17" i="21"/>
  <c r="G16" i="21"/>
  <c r="G11" i="21"/>
  <c r="G10" i="21"/>
  <c r="F16" i="26"/>
  <c r="G14" i="26"/>
  <c r="G5" i="26"/>
  <c r="G4" i="26"/>
  <c r="G3" i="26"/>
  <c r="F35" i="23"/>
  <c r="G32" i="23"/>
  <c r="F26" i="23"/>
  <c r="F6" i="33"/>
  <c r="E26" i="23"/>
  <c r="E6" i="48"/>
  <c r="D26" i="23"/>
  <c r="D6" i="48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F30" i="25"/>
  <c r="G29" i="25"/>
  <c r="F21" i="25"/>
  <c r="F5" i="33" s="1"/>
  <c r="F34" i="25"/>
  <c r="D21" i="25"/>
  <c r="D5" i="33" s="1"/>
  <c r="C21" i="25"/>
  <c r="C5" i="48" s="1"/>
  <c r="G20" i="25"/>
  <c r="G19" i="25"/>
  <c r="G18" i="25"/>
  <c r="G17" i="25"/>
  <c r="G16" i="25"/>
  <c r="G15" i="25"/>
  <c r="G13" i="25"/>
  <c r="G11" i="25"/>
  <c r="G9" i="25"/>
  <c r="G8" i="25"/>
  <c r="G7" i="25"/>
  <c r="G5" i="25"/>
  <c r="G4" i="25"/>
  <c r="E18" i="19"/>
  <c r="E30" i="19"/>
  <c r="F26" i="19"/>
  <c r="G23" i="19"/>
  <c r="G25" i="19"/>
  <c r="F18" i="19"/>
  <c r="F30" i="19"/>
  <c r="D4" i="33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F9" i="1"/>
  <c r="F22" i="1"/>
  <c r="E9" i="1"/>
  <c r="E22" i="1"/>
  <c r="G22" i="1"/>
  <c r="F18" i="1"/>
  <c r="G17" i="1"/>
  <c r="G9" i="1"/>
  <c r="C9" i="1"/>
  <c r="G8" i="1"/>
  <c r="G7" i="1"/>
  <c r="G6" i="1"/>
  <c r="G5" i="1"/>
  <c r="G4" i="1"/>
  <c r="G3" i="1"/>
  <c r="F36" i="48"/>
  <c r="F35" i="48"/>
  <c r="F34" i="48"/>
  <c r="F29" i="48"/>
  <c r="G27" i="48"/>
  <c r="D18" i="48"/>
  <c r="C17" i="48"/>
  <c r="D16" i="48"/>
  <c r="F14" i="48"/>
  <c r="E14" i="48"/>
  <c r="D14" i="48"/>
  <c r="C14" i="48"/>
  <c r="C10" i="48"/>
  <c r="C8" i="48"/>
  <c r="C6" i="48"/>
  <c r="D5" i="48"/>
  <c r="E4" i="48"/>
  <c r="C4" i="48"/>
  <c r="G3" i="48"/>
  <c r="F3" i="48"/>
  <c r="E3" i="48"/>
  <c r="D3" i="48"/>
  <c r="C3" i="48"/>
  <c r="F43" i="33"/>
  <c r="F42" i="33"/>
  <c r="F41" i="33"/>
  <c r="F36" i="33"/>
  <c r="G34" i="33"/>
  <c r="C23" i="33"/>
  <c r="C20" i="33"/>
  <c r="F18" i="33"/>
  <c r="D18" i="33"/>
  <c r="C18" i="33"/>
  <c r="C17" i="33"/>
  <c r="D16" i="33"/>
  <c r="D15" i="33"/>
  <c r="C15" i="33"/>
  <c r="F14" i="33"/>
  <c r="D14" i="33"/>
  <c r="C14" i="33"/>
  <c r="D13" i="33"/>
  <c r="C13" i="33"/>
  <c r="C10" i="33"/>
  <c r="C5" i="33"/>
  <c r="E4" i="33"/>
  <c r="G3" i="33"/>
  <c r="F3" i="33"/>
  <c r="E3" i="33"/>
  <c r="D3" i="33"/>
  <c r="C3" i="33"/>
  <c r="F4" i="33"/>
  <c r="G67" i="39"/>
  <c r="C9" i="33"/>
  <c r="G27" i="22"/>
  <c r="E16" i="33"/>
  <c r="G23" i="17"/>
  <c r="G16" i="33"/>
  <c r="E16" i="48"/>
  <c r="C16" i="33"/>
  <c r="G17" i="44"/>
  <c r="G4" i="44"/>
  <c r="G18" i="33"/>
  <c r="E18" i="48"/>
  <c r="E18" i="33"/>
  <c r="G33" i="23"/>
  <c r="F6" i="48"/>
  <c r="G34" i="23"/>
  <c r="E6" i="33"/>
  <c r="E39" i="23"/>
  <c r="G26" i="23"/>
  <c r="G6" i="33"/>
  <c r="G39" i="23"/>
  <c r="F39" i="23"/>
  <c r="D6" i="33"/>
  <c r="G11" i="44"/>
  <c r="G12" i="44"/>
  <c r="G13" i="24"/>
  <c r="G15" i="1"/>
  <c r="G16" i="1"/>
  <c r="G27" i="25"/>
  <c r="G28" i="25"/>
  <c r="G24" i="19"/>
  <c r="G18" i="19"/>
  <c r="G30" i="19"/>
  <c r="F4" i="48"/>
  <c r="G4" i="48"/>
  <c r="G4" i="33"/>
  <c r="D4" i="48"/>
  <c r="G33" i="33"/>
  <c r="G35" i="33"/>
  <c r="G28" i="48"/>
  <c r="G26" i="48"/>
  <c r="F40" i="32"/>
  <c r="G40" i="32"/>
  <c r="G19" i="38"/>
  <c r="D17" i="48"/>
  <c r="G14" i="27"/>
  <c r="G12" i="27"/>
  <c r="G14" i="20"/>
  <c r="G12" i="20"/>
  <c r="E10" i="33"/>
  <c r="E11" i="48"/>
  <c r="F10" i="33"/>
  <c r="E10" i="48"/>
  <c r="G14" i="24"/>
  <c r="G7" i="24"/>
  <c r="G20" i="24"/>
  <c r="F10" i="48"/>
  <c r="D10" i="33"/>
  <c r="G49" i="21"/>
  <c r="G47" i="21"/>
  <c r="G5" i="40"/>
  <c r="G20" i="33"/>
  <c r="F18" i="40"/>
  <c r="G18" i="40"/>
  <c r="F18" i="48"/>
  <c r="F16" i="48"/>
  <c r="F16" i="33"/>
  <c r="F38" i="17"/>
  <c r="G38" i="17"/>
  <c r="D12" i="33"/>
  <c r="G15" i="26"/>
  <c r="G13" i="26"/>
  <c r="G28" i="22"/>
  <c r="G29" i="22"/>
  <c r="G16" i="48"/>
  <c r="G31" i="17"/>
  <c r="G32" i="17"/>
  <c r="G33" i="17"/>
  <c r="G18" i="48"/>
  <c r="G6" i="48"/>
  <c r="G10" i="48"/>
  <c r="G10" i="33"/>
  <c r="E6" i="25"/>
  <c r="G6" i="25"/>
  <c r="E10" i="25"/>
  <c r="G10" i="25"/>
  <c r="E12" i="25"/>
  <c r="G12" i="25"/>
  <c r="E14" i="25"/>
  <c r="G14" i="25"/>
  <c r="E21" i="25"/>
  <c r="E5" i="48" s="1"/>
  <c r="E34" i="25"/>
  <c r="G21" i="25"/>
  <c r="G5" i="33" s="1"/>
  <c r="F3" i="22"/>
  <c r="E5" i="22"/>
  <c r="F5" i="22"/>
  <c r="E8" i="22"/>
  <c r="F8" i="22"/>
  <c r="E9" i="22"/>
  <c r="F9" i="22"/>
  <c r="F11" i="22"/>
  <c r="F13" i="22"/>
  <c r="E15" i="22"/>
  <c r="F15" i="22"/>
  <c r="F17" i="22"/>
  <c r="F19" i="22"/>
  <c r="E13" i="22"/>
  <c r="E14" i="22"/>
  <c r="E16" i="22"/>
  <c r="E18" i="22"/>
  <c r="F6" i="22"/>
  <c r="F4" i="22"/>
  <c r="E4" i="22"/>
  <c r="G4" i="22"/>
  <c r="E12" i="22"/>
  <c r="F10" i="22"/>
  <c r="E20" i="22"/>
  <c r="F20" i="22"/>
  <c r="E7" i="22"/>
  <c r="F7" i="22"/>
  <c r="E11" i="22"/>
  <c r="G11" i="22"/>
  <c r="F18" i="22"/>
  <c r="G18" i="22"/>
  <c r="E19" i="22"/>
  <c r="G19" i="22"/>
  <c r="F16" i="22"/>
  <c r="G16" i="22"/>
  <c r="G7" i="22"/>
  <c r="E3" i="22"/>
  <c r="G20" i="22"/>
  <c r="E10" i="22"/>
  <c r="G10" i="22"/>
  <c r="E6" i="22"/>
  <c r="G6" i="22"/>
  <c r="F12" i="22"/>
  <c r="G12" i="22"/>
  <c r="E17" i="22"/>
  <c r="G17" i="22"/>
  <c r="E21" i="22"/>
  <c r="E9" i="33" s="1"/>
  <c r="G3" i="22"/>
  <c r="F14" i="22"/>
  <c r="G14" i="22"/>
  <c r="E9" i="48"/>
  <c r="F21" i="22"/>
  <c r="F9" i="48" s="1"/>
  <c r="F34" i="22"/>
  <c r="E58" i="39"/>
  <c r="E57" i="39"/>
  <c r="E56" i="39"/>
  <c r="E60" i="39"/>
  <c r="E55" i="39"/>
  <c r="E54" i="39"/>
  <c r="F53" i="39"/>
  <c r="E53" i="39"/>
  <c r="F52" i="39"/>
  <c r="E52" i="39"/>
  <c r="F47" i="39"/>
  <c r="F49" i="39"/>
  <c r="F51" i="39"/>
  <c r="E48" i="39"/>
  <c r="E49" i="39"/>
  <c r="E50" i="39"/>
  <c r="E51" i="39"/>
  <c r="E47" i="39"/>
  <c r="E46" i="39"/>
  <c r="F45" i="39"/>
  <c r="F44" i="39"/>
  <c r="E45" i="39"/>
  <c r="F43" i="39"/>
  <c r="E43" i="39"/>
  <c r="F41" i="39"/>
  <c r="E42" i="39"/>
  <c r="E41" i="39"/>
  <c r="F40" i="39"/>
  <c r="E40" i="39"/>
  <c r="F39" i="39"/>
  <c r="E39" i="39"/>
  <c r="F38" i="39"/>
  <c r="E38" i="39"/>
  <c r="F37" i="39"/>
  <c r="F36" i="39"/>
  <c r="E35" i="39"/>
  <c r="E34" i="39"/>
  <c r="F33" i="39"/>
  <c r="E33" i="39"/>
  <c r="F32" i="39"/>
  <c r="E32" i="39"/>
  <c r="F31" i="39"/>
  <c r="E31" i="39"/>
  <c r="E30" i="39"/>
  <c r="E29" i="39"/>
  <c r="F28" i="39"/>
  <c r="E28" i="39"/>
  <c r="F27" i="39"/>
  <c r="E27" i="39"/>
  <c r="E26" i="39"/>
  <c r="E25" i="39"/>
  <c r="E24" i="39"/>
  <c r="E23" i="39"/>
  <c r="F22" i="39"/>
  <c r="E22" i="39"/>
  <c r="E21" i="39"/>
  <c r="F20" i="39"/>
  <c r="E20" i="39"/>
  <c r="F19" i="39"/>
  <c r="E19" i="39"/>
  <c r="E18" i="39"/>
  <c r="E17" i="39"/>
  <c r="F16" i="39"/>
  <c r="E16" i="39"/>
  <c r="E15" i="39"/>
  <c r="F14" i="39"/>
  <c r="E14" i="39"/>
  <c r="F13" i="39"/>
  <c r="E13" i="39"/>
  <c r="F12" i="39"/>
  <c r="E12" i="39"/>
  <c r="E11" i="39"/>
  <c r="F9" i="39"/>
  <c r="F8" i="39"/>
  <c r="E8" i="39"/>
  <c r="G8" i="39"/>
  <c r="F7" i="39"/>
  <c r="F6" i="39"/>
  <c r="F5" i="39"/>
  <c r="E5" i="39"/>
  <c r="G5" i="39"/>
  <c r="F4" i="39"/>
  <c r="E10" i="39"/>
  <c r="E9" i="39"/>
  <c r="E7" i="39"/>
  <c r="E6" i="39"/>
  <c r="E4" i="39"/>
  <c r="G41" i="39"/>
  <c r="G31" i="39"/>
  <c r="G38" i="39"/>
  <c r="G13" i="39"/>
  <c r="G9" i="39"/>
  <c r="G6" i="39"/>
  <c r="G53" i="39"/>
  <c r="G27" i="39"/>
  <c r="G33" i="39"/>
  <c r="G43" i="39"/>
  <c r="G19" i="39"/>
  <c r="G4" i="39"/>
  <c r="F42" i="39"/>
  <c r="G42" i="39"/>
  <c r="F48" i="39"/>
  <c r="F56" i="39"/>
  <c r="G56" i="39"/>
  <c r="F58" i="39"/>
  <c r="G58" i="39"/>
  <c r="G12" i="39"/>
  <c r="G14" i="39"/>
  <c r="G16" i="39"/>
  <c r="G20" i="39"/>
  <c r="G22" i="39"/>
  <c r="G28" i="39"/>
  <c r="G32" i="39"/>
  <c r="F34" i="39"/>
  <c r="F46" i="39"/>
  <c r="G52" i="39"/>
  <c r="F54" i="39"/>
  <c r="G54" i="39"/>
  <c r="F57" i="39"/>
  <c r="G57" i="39"/>
  <c r="F55" i="39"/>
  <c r="G55" i="39"/>
  <c r="F23" i="39"/>
  <c r="G23" i="39"/>
  <c r="F15" i="39"/>
  <c r="G15" i="39"/>
  <c r="G7" i="39"/>
  <c r="F30" i="39"/>
  <c r="G30" i="39"/>
  <c r="F26" i="39"/>
  <c r="F24" i="39"/>
  <c r="F18" i="39"/>
  <c r="G18" i="39"/>
  <c r="F10" i="39"/>
  <c r="G10" i="39"/>
  <c r="G45" i="39"/>
  <c r="F35" i="39"/>
  <c r="G35" i="39"/>
  <c r="F29" i="39"/>
  <c r="F25" i="39"/>
  <c r="G25" i="39"/>
  <c r="F21" i="39"/>
  <c r="G21" i="39"/>
  <c r="F17" i="39"/>
  <c r="G17" i="39"/>
  <c r="F11" i="39"/>
  <c r="G11" i="39"/>
  <c r="F50" i="39"/>
  <c r="E59" i="39"/>
  <c r="F60" i="39"/>
  <c r="G60" i="39"/>
  <c r="F59" i="39"/>
  <c r="G59" i="39"/>
  <c r="E37" i="39"/>
  <c r="G37" i="39"/>
  <c r="E36" i="39"/>
  <c r="F61" i="39"/>
  <c r="F74" i="39"/>
  <c r="F23" i="33"/>
  <c r="E44" i="39"/>
  <c r="G44" i="39"/>
  <c r="G36" i="39"/>
  <c r="E61" i="39"/>
  <c r="E74" i="39"/>
  <c r="G74" i="39"/>
  <c r="E23" i="33"/>
  <c r="G61" i="39"/>
  <c r="G23" i="33"/>
  <c r="G14" i="48" l="1"/>
  <c r="G14" i="33"/>
  <c r="G19" i="27"/>
  <c r="F7" i="48"/>
  <c r="C7" i="48"/>
  <c r="G14" i="30"/>
  <c r="G15" i="30"/>
  <c r="G5" i="30"/>
  <c r="C11" i="48"/>
  <c r="C19" i="48" s="1"/>
  <c r="F37" i="48"/>
  <c r="G36" i="48" s="1"/>
  <c r="E8" i="30"/>
  <c r="E21" i="30" s="1"/>
  <c r="F8" i="30"/>
  <c r="F11" i="33" s="1"/>
  <c r="D8" i="30"/>
  <c r="G35" i="48"/>
  <c r="G21" i="22"/>
  <c r="F9" i="33"/>
  <c r="E34" i="22"/>
  <c r="G34" i="22" s="1"/>
  <c r="D8" i="48"/>
  <c r="F7" i="33"/>
  <c r="E5" i="33"/>
  <c r="G5" i="48"/>
  <c r="F5" i="48"/>
  <c r="C26" i="33"/>
  <c r="F44" i="33" s="1"/>
  <c r="G41" i="33" s="1"/>
  <c r="G34" i="25"/>
  <c r="G4" i="20"/>
  <c r="F19" i="20"/>
  <c r="D11" i="48"/>
  <c r="D11" i="33"/>
  <c r="F21" i="30"/>
  <c r="G34" i="48"/>
  <c r="G3" i="30"/>
  <c r="E11" i="33"/>
  <c r="E13" i="48"/>
  <c r="E13" i="33"/>
  <c r="E18" i="18"/>
  <c r="E20" i="29"/>
  <c r="G5" i="28"/>
  <c r="G7" i="21"/>
  <c r="G5" i="29"/>
  <c r="E6" i="28"/>
  <c r="E17" i="48" s="1"/>
  <c r="G23" i="21"/>
  <c r="E19" i="20"/>
  <c r="D12" i="35"/>
  <c r="D24" i="33" s="1"/>
  <c r="G7" i="26"/>
  <c r="G7" i="48" s="1"/>
  <c r="E20" i="26"/>
  <c r="E7" i="48"/>
  <c r="E8" i="48"/>
  <c r="E54" i="21"/>
  <c r="E8" i="33"/>
  <c r="F13" i="48"/>
  <c r="F18" i="18"/>
  <c r="F13" i="33"/>
  <c r="G5" i="18"/>
  <c r="E20" i="28"/>
  <c r="E15" i="48"/>
  <c r="F17" i="33"/>
  <c r="F20" i="28"/>
  <c r="G20" i="28" s="1"/>
  <c r="F12" i="48"/>
  <c r="F11" i="48" l="1"/>
  <c r="G8" i="30"/>
  <c r="G11" i="48" s="1"/>
  <c r="F12" i="33"/>
  <c r="D19" i="48"/>
  <c r="G9" i="48"/>
  <c r="G9" i="33"/>
  <c r="G42" i="33"/>
  <c r="G43" i="33"/>
  <c r="E12" i="33"/>
  <c r="E12" i="48"/>
  <c r="G21" i="30"/>
  <c r="G11" i="33"/>
  <c r="E17" i="33"/>
  <c r="D26" i="33"/>
  <c r="G20" i="26"/>
  <c r="G7" i="33"/>
  <c r="E15" i="33"/>
  <c r="G6" i="28"/>
  <c r="G17" i="33" s="1"/>
  <c r="F20" i="29"/>
  <c r="F15" i="33"/>
  <c r="F15" i="48"/>
  <c r="G18" i="18"/>
  <c r="G13" i="48"/>
  <c r="G13" i="33"/>
  <c r="F8" i="33"/>
  <c r="F8" i="48"/>
  <c r="F54" i="21"/>
  <c r="G12" i="33"/>
  <c r="G19" i="20"/>
  <c r="G12" i="48"/>
  <c r="E26" i="33" l="1"/>
  <c r="E49" i="33" s="1"/>
  <c r="E19" i="48"/>
  <c r="E42" i="48" s="1"/>
  <c r="G17" i="48"/>
  <c r="G15" i="33"/>
  <c r="G20" i="29"/>
  <c r="G15" i="48"/>
  <c r="F19" i="48"/>
  <c r="G54" i="21"/>
  <c r="G8" i="48"/>
  <c r="G8" i="33"/>
  <c r="F26" i="33"/>
  <c r="G26" i="33" l="1"/>
  <c r="F49" i="33"/>
  <c r="G49" i="33" s="1"/>
  <c r="F42" i="48"/>
  <c r="G42" i="48" s="1"/>
  <c r="G19" i="48"/>
</calcChain>
</file>

<file path=xl/comments1.xml><?xml version="1.0" encoding="utf-8"?>
<comments xmlns="http://schemas.openxmlformats.org/spreadsheetml/2006/main">
  <authors>
    <author>Microsoft Office User</author>
  </authors>
  <commentList>
    <comment ref="F7" authorId="0" shape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F11" authorId="0" shape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</commentList>
</comments>
</file>

<file path=xl/sharedStrings.xml><?xml version="1.0" encoding="utf-8"?>
<sst xmlns="http://schemas.openxmlformats.org/spreadsheetml/2006/main" count="858" uniqueCount="356">
  <si>
    <t>TOTAL EJECUCIÓN</t>
  </si>
  <si>
    <t>PROYECTO</t>
  </si>
  <si>
    <t>DESPACHO DEL ALCALDE</t>
  </si>
  <si>
    <t>Apropiacion Definitiva</t>
  </si>
  <si>
    <t>Registro Presupuestal</t>
  </si>
  <si>
    <t>1. DESPACHO</t>
  </si>
  <si>
    <t>DEPARTAMENTO ADMINISTRATIVO DE HACIENDA</t>
  </si>
  <si>
    <t>DEPARTAMENTO ADMINISTRATIVO DE PLANEACION</t>
  </si>
  <si>
    <t>DEPARTAMENTO ADMINISTRATIVO DE CONTROL INTERNO</t>
  </si>
  <si>
    <t>4.1 FONDO MUNICIPAL DE VIVIENDA FOMVIVIENDA</t>
  </si>
  <si>
    <t>4.2 EMPRESA DE DESARROLLO URBANO EDUA</t>
  </si>
  <si>
    <t>4.3 CORPORACION DE CULTURA Y TURISMO CORPOCULTURA</t>
  </si>
  <si>
    <t>4.4 INSTITUTO MUNICIPAL DE DEPORTE IMDERA</t>
  </si>
  <si>
    <t>RANGO</t>
  </si>
  <si>
    <t>CANTIDAD</t>
  </si>
  <si>
    <t>%EFICIENCIA</t>
  </si>
  <si>
    <t>EJECUCIÓN DE METAS</t>
  </si>
  <si>
    <t>TOTAL METAS</t>
  </si>
  <si>
    <t>SECRETARÍA DE DESARROLLO SOCIAL</t>
  </si>
  <si>
    <t>SECRETARÍA DE SALUD</t>
  </si>
  <si>
    <t>SECRETARÍA DE DESARROLLO ECONÓMICO</t>
  </si>
  <si>
    <t>SECRETARÍA DE EDUCACIÓN</t>
  </si>
  <si>
    <t>SECRETARÍA DE TRÁNSITO Y TRANSPORTE</t>
  </si>
  <si>
    <t>SECRETARIA TICS</t>
  </si>
  <si>
    <t>DEPARTAMENTO ADMINISTRATIVO DE FORTALECIMIENTO INSTITUCIONAL</t>
  </si>
  <si>
    <t>DEPARTAMENTO ADMINISTRATIVO JURÍDICO</t>
  </si>
  <si>
    <t>SECRETARÍA DE GOBIERNO Y CONVIVENCIA</t>
  </si>
  <si>
    <t>TOTAL DEPENDENCIAS</t>
  </si>
  <si>
    <t>EMPRESA DE FOMENTO DE VIVIENDA</t>
  </si>
  <si>
    <t>EMPRESA DE DESARROLLO URBANO EDUA</t>
  </si>
  <si>
    <t>TOTAL EJECUTADO</t>
  </si>
  <si>
    <t>ALCALDÍA MUNICIPAL DE ARMENIA</t>
  </si>
  <si>
    <t>SECRETARÍA DE INFRAESTRUCTURA</t>
  </si>
  <si>
    <t xml:space="preserve">3.7. CONTROL INTERNO DISCIPLINARIO </t>
  </si>
  <si>
    <t>3.6.  CONTROL INTERNO</t>
  </si>
  <si>
    <t>3.4. BIENES Y SUMINISTROS</t>
  </si>
  <si>
    <t>3.3. HACIENDA</t>
  </si>
  <si>
    <t>3.2. JURIDICA</t>
  </si>
  <si>
    <t>3.1. FORTALECIMIENTO INSTITUCIONAL</t>
  </si>
  <si>
    <t>2.8. SECRETARIA DE LAS TECNOLOGIAS TICS</t>
  </si>
  <si>
    <t>2.7. SECRETARIA DE TRANSITO Y TRANSPORTE</t>
  </si>
  <si>
    <t>2.6. SECRETARIA DE INFRAESTRUCTURA</t>
  </si>
  <si>
    <t>2.3. SALUD</t>
  </si>
  <si>
    <t>2.2. DESARROLLO SOCIAL</t>
  </si>
  <si>
    <t>2.1. GOBIERNO Y CONVIVENCIA</t>
  </si>
  <si>
    <t>2.4. DESARROLLO ECONÓMICO</t>
  </si>
  <si>
    <t>2.5. EDUCACIÓN</t>
  </si>
  <si>
    <t>3.5. PLANEACIÓN</t>
  </si>
  <si>
    <t>4.5 EMPRESAS PUBLICAS DE ARMENIA-EPA</t>
  </si>
  <si>
    <t>4.6 AMABLE E.I.C.E</t>
  </si>
  <si>
    <t xml:space="preserve">EMPRESAS PÚBLICAS DE ARMENIA </t>
  </si>
  <si>
    <t xml:space="preserve">Mas Prestación de servicios de salud </t>
  </si>
  <si>
    <t>Inmobiliaria Municipal</t>
  </si>
  <si>
    <t>TOTAL EJECUCION</t>
  </si>
  <si>
    <t>TOTAL EJECUCUCIÓN</t>
  </si>
  <si>
    <t>Número de Actividades Metas  producto  del proyecto a la fecha de corte</t>
  </si>
  <si>
    <t>% ejecución presupuestal a la fecha de corte</t>
  </si>
  <si>
    <t>Recursos asignados, en pesos en el momento presupuestal
 (Apropiación Definitiva)</t>
  </si>
  <si>
    <t>Recursos ejecutados en pesos en el momento presupuestal 
(Reg. Presupuestal)</t>
  </si>
  <si>
    <t>Todos Somos Ciudadanos</t>
  </si>
  <si>
    <t>Todos Informados</t>
  </si>
  <si>
    <t>Todos Pá la Calle</t>
  </si>
  <si>
    <t>Todos en Paz</t>
  </si>
  <si>
    <t>Promedio de avance de la meta del indicador de producto del proyecto a la fecha de corte</t>
  </si>
  <si>
    <t>CONSTRUCCIÓN DE CENTRO DE CONVIVENCIA CIUDADANA</t>
  </si>
  <si>
    <t>APOYO A ESTABLECIMIENTOS DE RECLUSIÓN</t>
  </si>
  <si>
    <t>PREVENCIÓN Y CONVIVENCIA CON NUESTROS ANIMALES</t>
  </si>
  <si>
    <t>IMPLEMENTACIÓN DE ACCIONES PARA UNA ARMENIA HUMANITARIA</t>
  </si>
  <si>
    <t>FORTALECIMIENTO INSTITUCIONAL DE LA ACTIVIDAD DE LA GESTIÓN DEL RIESGO DE DESASTRES.</t>
  </si>
  <si>
    <t>FORTALECIMIENTO INSTITUCIONAL DE LA ACTIVIDAD BOMBERIL</t>
  </si>
  <si>
    <t>CULTURIZANDO LA VENTA INFORMAL EN EL ESPACIO PÚBLICO</t>
  </si>
  <si>
    <t>FORTALECIMIENTO OPERACIONAL DE LAS COMISARIAS DE FAMILIA</t>
  </si>
  <si>
    <t>FOMENTANDO LA CULTURA CIUDADANA PARA DISMINUIR LA AFECTACIÓN DE LA CONVIVENCIA.</t>
  </si>
  <si>
    <t>GOBERNABILIDAD CULTURAL Y PLURIÉTNICA CON IGUALDAD SOCIAL</t>
  </si>
  <si>
    <t>CULTURA DE PAZ Y PROMOCIÓN DE LOS DERECHOS HUMANOS</t>
  </si>
  <si>
    <t>GENERANDO CULTURA EN DERECHOS Y DEBERES PARA LA PROTECCION DEL CONSUMIDOR</t>
  </si>
  <si>
    <t>VIGILANCIA Y SEGURIDAD CIUDADANA</t>
  </si>
  <si>
    <t>FORTALECIMIENTO DE LAS ACCIONES PREVENTIVAS PARA GARANTIZAR LA SEGURIDAD Y CONVIVENCIA CIUDADANA (FONSET)</t>
  </si>
  <si>
    <t>Generación de condiciones para el crecimiento económico y empleo - productividad y competitividad de las empresas del municipio de armenia</t>
  </si>
  <si>
    <t>Apoyo e inclusión de productores rurales del municipio de armenia en cadenas productivas, de valor agregado y ciencia, tecnología e innovación</t>
  </si>
  <si>
    <t>Implementación Incremento de las capacidades de apropiación de la Ciencia, la Tecnología y la Innovación en Armenia</t>
  </si>
  <si>
    <t>EDUCACION INICIAL -CONSTRUCCION DE INFRAESTRUCTURA</t>
  </si>
  <si>
    <t>EDUCACION INICIAL - ADECUACION  Y MEJORAMIENTO DE INFRAESTRUCTURA</t>
  </si>
  <si>
    <t xml:space="preserve">ATENCION INTEGRAL EDUCACION INICIAL </t>
  </si>
  <si>
    <t xml:space="preserve">FUNCIONAMIENTO Y PRESTACION DEL SERVICIO EDUCATIVO DE LAS INSTITUCIONES EDUCATIVAS </t>
  </si>
  <si>
    <t xml:space="preserve">FONDOS DE SERVICIOS EDUCATIVOS  </t>
  </si>
  <si>
    <t>ATENCION A POBLACIONES ETNIA AFRO E INDIGENAS</t>
  </si>
  <si>
    <t xml:space="preserve">ATENCION A POBLACIONES VICTIMAS DEL CONFLICTO, VULNERABLES, JOVENES Y ADULTOS </t>
  </si>
  <si>
    <t xml:space="preserve">ATENCION A POBLACION  CON NECESIDADES EDUCATIVAS ESPECIALES O CON DISCAPACIDAD </t>
  </si>
  <si>
    <t xml:space="preserve">ACOMPAÑAMIENTO PARA LA MEJORA DE LA CALIDAD EDUCATIVA Y SEGUIMIENTO A LOS PROCESOS DE APRENDIZAJE </t>
  </si>
  <si>
    <t xml:space="preserve">JORNADA UNICA EN EL MARCO DE LA ATENCIÓN INTEGRAL </t>
  </si>
  <si>
    <t xml:space="preserve">JORNADAS COMPLEMENTARIAS </t>
  </si>
  <si>
    <t>CONSTRUCCIÓN, MEJORAMIENTO Y MANTENIMIENTO DE INSTITUCIONES EDUCATIVAS</t>
  </si>
  <si>
    <t>ESCUELA DE MUSICA</t>
  </si>
  <si>
    <t xml:space="preserve">CULTURA CIUDADANA Y CONVIVENCIA ESCOLAR  </t>
  </si>
  <si>
    <t xml:space="preserve">PLAN   DE LECTURA Y ESCRITURA </t>
  </si>
  <si>
    <t>DOTACIÓN DE EQUIPOS, SOFTWARE Y TEXTOS PARA LAS INSTITUCIONES EDUCATIVAS.</t>
  </si>
  <si>
    <t>PROYECTO EDUCATIVO AMBIENTAL Y DE GESTIÓN DEL RIESGO (PRAE - PEGER)</t>
  </si>
  <si>
    <t>ALIMENTACION ESCOLAR</t>
  </si>
  <si>
    <t>TRANSPORTE ESCOLAR</t>
  </si>
  <si>
    <t>BECAS PARA ESTUDIANTES  QUE  INGRESAN  A LA UNIVERSIDAD</t>
  </si>
  <si>
    <t>SERVICIOS PUBLICOS</t>
  </si>
  <si>
    <t>TRANSFERENCIAS A LAS INSTITUCIONES EDUCATIVAS</t>
  </si>
  <si>
    <t>BILINGÜISMO</t>
  </si>
  <si>
    <t>ARTICULACIÓN CON LA MEDIA</t>
  </si>
  <si>
    <t>DOTACIÓN, USO Y APROVECHAMIENTO DE TIC EN EL AULA</t>
  </si>
  <si>
    <t>FORMACIÓN PARA EL TRABAJO Y EL DESARROLLO HUMANO</t>
  </si>
  <si>
    <t xml:space="preserve">PROYECTO DE TECNOACADEMIA </t>
  </si>
  <si>
    <t xml:space="preserve">ESCUELAS SALUDABLES </t>
  </si>
  <si>
    <t>ESCUELA DE PADRES</t>
  </si>
  <si>
    <t>PROYECTO DE IMPLEMENTACIÓN DE PRÁCTICAS EDUCATIVAS Y PEDAGÓGICAS</t>
  </si>
  <si>
    <t>PLAN ESTRATÉGICO DE EDUCACIÓN 2020-2023</t>
  </si>
  <si>
    <t>PROYECTO DE EMPRENDERISMO</t>
  </si>
  <si>
    <t>JÓVENES PROGRAMADORES SIGLO XXI</t>
  </si>
  <si>
    <t xml:space="preserve">MEJORAMIENTO Y SEGUIMIENTO A LA GESTION  EN LOS PROCESOS DE LA SECRETARIA DE EDUCACION </t>
  </si>
  <si>
    <t>CONECTIVIDAD EN LAS INSTITUCIONES EDUCATIVAS</t>
  </si>
  <si>
    <t xml:space="preserve">ATENCION AL CIUDADANO </t>
  </si>
  <si>
    <t>FUNCIONAMIENTO Y PRESTACION DE SERVICIOS DEL SECTOR  EDUCATIVO DEL NIVEL CENTRAL</t>
  </si>
  <si>
    <t>Sostenibilidad y fortalecimiento de la vigilancia, control, educación y regulación de la infraestructura vial del municipio de armenia</t>
  </si>
  <si>
    <t>La seguridad y Movilidad Vial es PA'TODOS</t>
  </si>
  <si>
    <t>Movilidad Sostenible PA'TODOS</t>
  </si>
  <si>
    <t>Mas Gestión Intitucional
Mas Usuarios Satisfechos</t>
  </si>
  <si>
    <t>Armenia Es pa Todos con Gestión TIC</t>
  </si>
  <si>
    <t>Ecosistema TIC Pa Todos</t>
  </si>
  <si>
    <t>Fortalecimiento TIC Pa´ todos,  Armenia Ciudad Inteligente</t>
  </si>
  <si>
    <t>Ciencia Tecnología e Innovación un futuro Pa' Todos</t>
  </si>
  <si>
    <t>Armenia Ciencia, Tecnologia e Innovación</t>
  </si>
  <si>
    <t>Complejo Archivístico, de conservación y de valor histórico del Municipio de Armenia Museo de la memoria</t>
  </si>
  <si>
    <t>Fortalecimiento del Talento Humano y Modernización Institucional Pa`Todos</t>
  </si>
  <si>
    <t>Creación del Proceso de Gestión Documental y Archivo en el Municipio de Armenia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</si>
  <si>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</si>
  <si>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</si>
  <si>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>4.7.REDSALUD</t>
  </si>
  <si>
    <t>Modernización tecnológica y administrativa para la gestión financiera y fiscal</t>
  </si>
  <si>
    <t>Cultura y legalidad para el contribuyente cuyabro</t>
  </si>
  <si>
    <t>Catastro multipropósito</t>
  </si>
  <si>
    <t>Adquisición y/o mantenimiento de las áreas de conservación y protección de fuentes hídricas del Municipio de Armenia.</t>
  </si>
  <si>
    <t>Administración efectiva de los bienes muebles e inmuebles propiedad del Municipio de Armenia</t>
  </si>
  <si>
    <t>Adecuación y mejoramiento de los bienes del Municipio del Armenia</t>
  </si>
  <si>
    <t>Auditorías Internas basadas en Riesgos y Procesos de Acompañamiento y Asesoría.</t>
  </si>
  <si>
    <t xml:space="preserve"> Evaluación Independiente del Sistema de Control Interno y Atención a Entes de Control.</t>
  </si>
  <si>
    <t>Valoración de Riesgos y Enfoque hacia la prevención.</t>
  </si>
  <si>
    <t>Sistema de emergencias medicas (SEM)</t>
  </si>
  <si>
    <t>Armenia asegurada en salud</t>
  </si>
  <si>
    <t>Calidad  en la prestación del servicio</t>
  </si>
  <si>
    <t>Subsidio a la demanda</t>
  </si>
  <si>
    <t>Participación social en Salud</t>
  </si>
  <si>
    <t>Promoción de la Salud y Gestión del Riesgo para las Enfermedades Crónicas NO Transmisibles</t>
  </si>
  <si>
    <t>Promoción de la Salud y Gestión del Riesgo en la Salud Sexual y Reproductiva</t>
  </si>
  <si>
    <t>Gestión de la salud pública</t>
  </si>
  <si>
    <t>Atención Diferencial a Poblaciones Vulnerables</t>
  </si>
  <si>
    <t>Intervenciones colectivas</t>
  </si>
  <si>
    <t>Preparación de Respuesta de Salud Pública ante las Emergencia y Desastres</t>
  </si>
  <si>
    <t>Promoción de la Seguridad Alimentaria  y gestión del riesgo por el consumo</t>
  </si>
  <si>
    <t>Promoción de la Salud y Gestión del Riesgo en Zoonosis</t>
  </si>
  <si>
    <t>Epidemiología y Demografía</t>
  </si>
  <si>
    <t>Promoción de la Salud y Gestión del Riesgo en la Salud Mental</t>
  </si>
  <si>
    <t>Promoción de la Salud y Gestión de Riesgos Ambientales por Agua, Aire, Residuos, Movilidad</t>
  </si>
  <si>
    <t xml:space="preserve">Promoción de la Salud en Entornos Laborales </t>
  </si>
  <si>
    <t>Promoción de la Salud y Gestión del Riesgo para las Enfermedades Crónicas Transmisibles</t>
  </si>
  <si>
    <t>Promoción de la Salud y Gestión del Riesgo en Vectores</t>
  </si>
  <si>
    <t xml:space="preserve">Más Cuidado a la salud </t>
  </si>
  <si>
    <t xml:space="preserve"> Fortalecimiento Institucional de Apoyo a los Servicios de Salud</t>
  </si>
  <si>
    <t>Fortalecimiento de capacidades para la generación y formalización de empleo en la ciudad de Armenia</t>
  </si>
  <si>
    <t xml:space="preserve">Fortalecimiento de la cultura de prevención respecto de las actuaciones de los funcionarios de la Administración Municipal, enmarcados en la Constitución y la Ley. </t>
  </si>
  <si>
    <t xml:space="preserve">Gestion, Formulación de proyectos VIS (Vivienda interés social) y VIP (Vivienda de interés prioritario) en sector urbano  del municipio de Armenia, Departamento del Quindío. </t>
  </si>
  <si>
    <t>Mejoramiento de vivienda, de entorno y de titulación de predios en convenios de cooperación y financiación con entidades de orden nacional, Departamento o Municipal de Armenia.</t>
  </si>
  <si>
    <t xml:space="preserve">Fortalecimiento institucional FOMVIVIENDA Armenia. </t>
  </si>
  <si>
    <t>Gestión de Convenios y/o Contratos  Interadministrativos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</si>
  <si>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</si>
  <si>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</si>
  <si>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</si>
  <si>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</si>
  <si>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</si>
  <si>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</si>
  <si>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</si>
  <si>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 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</si>
  <si>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</si>
  <si>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</si>
  <si>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</si>
  <si>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</si>
  <si>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 xml:space="preserve">Actividades de Gestión </t>
  </si>
  <si>
    <t xml:space="preserve">EJECUCIÓN POR ACTIVIDADES </t>
  </si>
  <si>
    <t>TOTAL ACTIVIDADES</t>
  </si>
  <si>
    <t>Servicio de transporte público organizado implementados (SITM. SITP. SETP, SITR)</t>
  </si>
  <si>
    <t>Implementación de la red semaforica y el centro de control de trafico para el SETP de Armenia</t>
  </si>
  <si>
    <t>Implementación del sistema de gestión y control de flota para el SETP de Armenia</t>
  </si>
  <si>
    <t xml:space="preserve">Paradero con Espacio Público y obras complementariaas PEP Hospital San Juan de Dios </t>
  </si>
  <si>
    <t xml:space="preserve">Rehabilitación vial de la carrera 19 tramo centro desde la calle 10 norte hasta la calle 25 </t>
  </si>
  <si>
    <t xml:space="preserve">Proyecto vial de la calle 50 tramo III (puente los quindos) y obras complementarias </t>
  </si>
  <si>
    <t xml:space="preserve">Terminal de ruta puerto espejo y obras complementarias </t>
  </si>
  <si>
    <t xml:space="preserve">Renovación de andenes del centro tramo 6 </t>
  </si>
  <si>
    <t>EJECUCIÓN POR DEPENDENCIAS/ENTIDADES</t>
  </si>
  <si>
    <t>Consolidación de los drenajes urbanos y espacios públicos naturales</t>
  </si>
  <si>
    <t xml:space="preserve">Estrategias de mitigación y adaptación al cambio climático </t>
  </si>
  <si>
    <t>Estudios técnicos sobre recursos hidricos</t>
  </si>
  <si>
    <t xml:space="preserve">Gestión de residuos y adaptación a la estrategia de economía circular </t>
  </si>
  <si>
    <t>Armenia Capital Verde - Paisaje Cultural Cafetero</t>
  </si>
  <si>
    <t xml:space="preserve">Corresponsabilidad ambiental </t>
  </si>
  <si>
    <t>Educación Ambiental Pa´Todos</t>
  </si>
  <si>
    <t xml:space="preserve">Inventario de asentamientos sub-normales </t>
  </si>
  <si>
    <t>Control Físico y Urbano</t>
  </si>
  <si>
    <t>Manuales Urbanos</t>
  </si>
  <si>
    <t>Laboratorio de Planificación, urbanismo y arquitectura de la ciudad</t>
  </si>
  <si>
    <t xml:space="preserve">Diagnosticos, suelos de protección ambiental. </t>
  </si>
  <si>
    <t xml:space="preserve">Expediente Municipal </t>
  </si>
  <si>
    <t>Unidades de Planificación Intermedia</t>
  </si>
  <si>
    <t>Bienestar para los seres sintientes</t>
  </si>
  <si>
    <t>Planeando Pa´Todos</t>
  </si>
  <si>
    <t xml:space="preserve">Todos participando </t>
  </si>
  <si>
    <t>Infraestructura de Datos Espaciales</t>
  </si>
  <si>
    <t>Inspección Urbana</t>
  </si>
  <si>
    <t>Documento de formulación de política pública</t>
  </si>
  <si>
    <t xml:space="preserve"> % Eficiencia 2021</t>
  </si>
  <si>
    <t>% Eficiencia 2021</t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</si>
  <si>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captación, aducción y tratamiento de agua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Expansión de los componentes del sistema de captación, aducción y tratamiento de agua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</si>
  <si>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distribución de agua potable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redes de Acueducto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</si>
  <si>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redes de Alcantarillado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</si>
  <si>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colectores, interceptores y emisarios finales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colectores, interceptores y emisarios finales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</si>
  <si>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Sistemas de Tratamiento de Aguas Residuales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PTAR La Florida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</si>
  <si>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 Sistema de captación, aducción y tratamiento.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los componentes del Sistema de captación y aducción de agua cruda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</si>
  <si>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 Sistema de captación, aducción y tratamiento.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los componentes del sistema de producción de agua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</si>
  <si>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sistema de distribución de agua potable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redes de Acueducto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</si>
  <si>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 de los componentes del sistema de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redes de Alcantarillado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</si>
  <si>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sistema de colectores, interceptores y emisarios finales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componentes del sistema de colectores, interceptores y emisarios finales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</si>
  <si>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componentes del Sistema de Tratamiento de Aguas Residuales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los componentes del Sistema de Tratamiento de Aguas Residuales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</si>
  <si>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Mejoramiento de infraestructura y equipos de captación y aducción de agua cruda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</si>
  <si>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 xml:space="preserve">
Proyecto:</t>
    </r>
    <r>
      <rPr>
        <sz val="10"/>
        <color theme="1"/>
        <rFont val="Arial"/>
        <family val="2"/>
      </rPr>
      <t xml:space="preserve">
Intervención de los túneles de aducción de agua cruda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</si>
  <si>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los componentes de la Planta de Tratamiento agua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</si>
  <si>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Mejoramiento del sistema para producción de agua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</si>
  <si>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distribución de agua potable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redes de Acueducto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</si>
  <si>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redes de Alcantarillado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</si>
  <si>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colectores, interceptores y emisarios finales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colectores, interceptores y emisarios finales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</si>
  <si>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Tratamiento de Aguas Residuales
</t>
    </r>
    <r>
      <rPr>
        <b/>
        <sz val="10"/>
        <color theme="1"/>
        <rFont val="Arial"/>
        <family val="2"/>
      </rPr>
      <t xml:space="preserve">
Proyecto:</t>
    </r>
    <r>
      <rPr>
        <sz val="10"/>
        <color theme="1"/>
        <rFont val="Arial"/>
        <family val="2"/>
      </rPr>
      <t xml:space="preserve">
Rehabilitación  y/o mejoramiento de los componentes del Sistema de Tratamiento de Aguas Residuales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</si>
  <si>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Construcción de Infraestructura de Contingencia para el Municipio de Armenia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Infraestructura de Contingencia para el Acueducto de Armenia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</si>
  <si>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infraestructura de contingencia del Municipio de Armenia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infraestructura de contingencia del municipio de Armenia</t>
    </r>
  </si>
  <si>
    <r>
      <rPr>
        <b/>
        <sz val="10"/>
        <color theme="1"/>
        <rFont val="Arial"/>
        <family val="2"/>
      </rPr>
      <t>Línea de Proyecto Interna EPA:</t>
    </r>
    <r>
      <rPr>
        <sz val="10"/>
        <color theme="1"/>
        <rFont val="Arial"/>
        <family val="2"/>
      </rPr>
      <t xml:space="preserve"> 
Rehabilitación y /o Mejoramiento de la Infraestructura de Contingencia del Municipio de Armenia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y /o Mejoramiento de la Infraestructura de Contingencia del municipio de Armenia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</si>
  <si>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Atención a Contingencias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Atención de contingencias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</si>
  <si>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Sistema de Información Geográfico - SIG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y Fortalecimiento Técnico del SIG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</si>
  <si>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Modelación hidráulica de los sistemas de Acueducto y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Modelación Hidráulica del Sistema de Acueducto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</si>
  <si>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Modelación hidráulica de los sistemas de Acueducto y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Aislamiento de Sectores Hidráulicos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</si>
  <si>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Modelación hidráulica de los sistemas de Acueducto y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Modelación de la calidad del agua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</si>
  <si>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Ingeniería de detalle para el desarrollo de los servicios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Revisión de proyectos hidrosanitarios y control urbano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</si>
  <si>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Ingeniería de detalle para el desarrollo de los servicios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Estudios y diseños para el desarrollo de los servicios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</si>
  <si>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Adquisicion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Adquisición de maquinaria, herramientas y equipos de los servicios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</si>
  <si>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Fomento a la separación, recuperación, aprovechamiento y comercialización de Residuos Solidos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Fomento del desarrollo empresarial en la recuperación, aprovechamiento y comercialización de residuos solidos municipales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</si>
  <si>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Conservación y recuperación de cuencas abastecedoras x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Modelo para la conservación, recuperación y mantenimiento de la cuenca abastecedora del Rio Quindío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</si>
  <si>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técnicas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Reparación y detección de fugas en infraestructura, conductos, tanques y dispositivos mecánicos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</si>
  <si>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técnicas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Ampliación, mejoramiento y optimización del sistema control Hidráulico,
macromedición y telemetría.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</si>
  <si>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técnicas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Ampliación y/o Reposición de hidrantes y válvulas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</si>
  <si>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comerciales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Expansión de la Micromedición Efectiva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</si>
  <si>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Racionalización del consumo interno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Racionalización del Consumo Interno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</si>
  <si>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Cultura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Programa de educación en Centros Educativos Públicos de la ciudad de Armenia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</si>
  <si>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Cultura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Programa de Educación a usuarios y funcionarios de EPA ESP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</si>
  <si>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Monitoreo y Control de la Calidad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Monitoreo y Control de la Calidad del Agua cruda y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</si>
  <si>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Monitoreo y Control de la Calidad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Monitoreo y Control de la Calidad del Agua en las Fuentes Receptoras y vertimientos de EPA ESP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</si>
  <si>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Formulación, implementación y actualización de Planes Institucionales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Actualización de los Planes Estratégicos de la Dirección TIC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</si>
  <si>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 instrumentos de transparencia </t>
    </r>
  </si>
  <si>
    <r>
      <t xml:space="preserve">Línea de Proyecto Interna EPA: 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Plan Estratégico de Tecnologías de la Información y las Comunicaciones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</si>
  <si>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Plan de Tratamiento de Riesgos de Seguridad y Privacidad de la Información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</si>
  <si>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 Plan de Seguridad y Privacidad de la Información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</si>
  <si>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Plan Estratégico de Talento Humano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</si>
  <si>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Adopción, implementación y seguimiento de las políticas del  Modelo Integrado de Planeación y Gestión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Adopción, implementación y seguimiento de las políticas del  Modelo Integrado de Planeación y Gestión </t>
    </r>
  </si>
  <si>
    <r>
      <t xml:space="preserve">Línea de Proyecto Interna EPA: 
Mantenimiento y Ampliación del Sistema Gestión Integrado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Sistema de Gestión Integrados</t>
    </r>
  </si>
  <si>
    <r>
      <t xml:space="preserve">Línea de Proyecto Interna EPA: 
Mantenimiento y Ampliación del Sistema Gestión Integrado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 Acreditación del laboratorio de calibración de medidores  </t>
    </r>
  </si>
  <si>
    <r>
      <t xml:space="preserve">Línea de Proyecto Interna EPA: 
Mantenimiento y Ampliación del Sistema Gestión Integrado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Acreditación del Laboratorio de Ensayo de Calidad de Agua</t>
    </r>
  </si>
  <si>
    <r>
      <t xml:space="preserve">Línea de Proyecto Interna EPA: 
Imagen Corporativa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Fortalecimiento de la Imagen Corporativa </t>
    </r>
  </si>
  <si>
    <r>
      <t xml:space="preserve">Línea de Proyecto Interna EPA: 
Imagen Corporativa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Responsabilidad Social Empresarial </t>
    </r>
  </si>
  <si>
    <r>
      <t xml:space="preserve">Línea de Proyecto Interna EPA: 
Apoyo logístico y desarrollo institucional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Adecuación de las instalaciones locativas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</si>
  <si>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Modernización y soporte de sistemas de información, recursos informáticos y de comunicaciones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Modernización y soporte de la Plataforma TIC de EPA ESP 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</si>
  <si>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Seguimientos y controles a los negocios estratégicos de EPA ESP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Seguimientos y controles a los negocios estratégicos de EPA ESP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</si>
  <si>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 Análisis y desarrollo de otras Unidades de Negocio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 Análisis y desarrollo de otras Unidades de Negocio</t>
    </r>
  </si>
  <si>
    <t>% Eficiencia  2021</t>
  </si>
  <si>
    <t>%EFICIENCIA 2021</t>
  </si>
  <si>
    <t xml:space="preserve">RED SALUD ARMENIA </t>
  </si>
  <si>
    <t>IMDERA</t>
  </si>
  <si>
    <t>AMABLE</t>
  </si>
  <si>
    <t>CORPOCULTURA</t>
  </si>
  <si>
    <t>Pa´ la Primera infancia - Horizontes brillantes</t>
  </si>
  <si>
    <t>Pa´ la Infancia - construyamos juntos</t>
  </si>
  <si>
    <t xml:space="preserve">Pa´ la Adolescencia - Entornos protectores </t>
  </si>
  <si>
    <t xml:space="preserve">Juventud Pa´ todos </t>
  </si>
  <si>
    <t xml:space="preserve">Es Pa´ la equidad de género  </t>
  </si>
  <si>
    <t xml:space="preserve">Es Pa´ Armenia diversa </t>
  </si>
  <si>
    <t>Es Pa´ los Adultos Mayores - Atención Integral a la vejez</t>
  </si>
  <si>
    <t>Pa´ un envejecimiento y vejez dignos - CBA , CV</t>
  </si>
  <si>
    <t xml:space="preserve">Es Pa´ el Habitante en situación de calle - Tú cuentas y juntos construimos inclusión social </t>
  </si>
  <si>
    <t xml:space="preserve">Es Pa' las Personas con Discapacidad </t>
  </si>
  <si>
    <t xml:space="preserve">Es Pa´ las Familias </t>
  </si>
  <si>
    <t xml:space="preserve">Es Pa´ Servir - Servicios  Exequiales </t>
  </si>
  <si>
    <t>Es Pa´ participar - cooperación ciudadana activa y social</t>
  </si>
  <si>
    <t>Es Pa´ las JAL - Gestión y procedimientos JAL</t>
  </si>
  <si>
    <t xml:space="preserve">Es Pa´ Decidir - acuerdos participativos - Presupuesto participativo </t>
  </si>
  <si>
    <t xml:space="preserve">Programas Sociales Pa´ las Familias vulnerables de Armenia -Familias en Acción y Jóvenes en Acción, Red Unidos </t>
  </si>
  <si>
    <t>Impulsa2</t>
  </si>
  <si>
    <t>Dotación de sedes de la red de salud pública del municipio.</t>
  </si>
  <si>
    <t>CONSOLIDADO DE EJECUCIÓN ESTRATEGICA Y PRESUPUESTAL
A 30 DE SEPTIEMBRE DE 2021 
NIVEL CENTRAL Y DESCENTRALIZADO</t>
  </si>
  <si>
    <t>CONSOLIDADO DE EJECUCIÓN ESTRATEGICA Y PRESUPUESTAL
 A 30 DE SEPTIEMBRE DE 2021 
NIVEL CENTRAL</t>
  </si>
  <si>
    <r>
      <rPr>
        <b/>
        <sz val="11"/>
        <color theme="1"/>
        <rFont val="Arial"/>
        <family val="2"/>
      </rPr>
      <t>CONSOLIDADO DE EJECUCIÓN ESTRATEGICA Y PRESUPUESTAL
A SEPTIEMBRE 30 DE 2021
DESPACHO DEL ALCALDE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</si>
  <si>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CONSOLIDADO DE EJECUCIÓN ESTRATEGICA Y PRESUPUESTAL
A SEPTIEMBRE 30 DE 2021
SECRETARÍA  DE GOBIERNO Y CONVIVENCIA 
</t>
  </si>
  <si>
    <t xml:space="preserve">CONSOLIDADO DE EJECUCIÓN ESTRATEGICA Y PRESUPUESTAL
A SEPTIEMBRE 30 DE 2021
SECRETARÍA DE DESARROLLO SOCIAL
</t>
  </si>
  <si>
    <t xml:space="preserve">CONSOLIDADO DE EJECUCIÓN ESTRATEGICA Y PRESUPUESTAL
A SEPTIEMBRE 30 DE 2021
SECRETARIA DE SALUD
</t>
  </si>
  <si>
    <t xml:space="preserve">CONSOLIDADO DE EJECUCIÓN ESTRATEGICA Y PRESUPUESTAL
A SEPTIEMBRE 30  DE 2021
SECRETARÍA DE DESARROLLO ECONÓMICO
</t>
  </si>
  <si>
    <t xml:space="preserve">CONSOLIDADO DE EJECUCIÓN PRESUPUESTAL
A SEPTIEMBRE 30 DE 2021
EDUCACIÓN
</t>
  </si>
  <si>
    <t xml:space="preserve">CONSOLIDADO DE EJECUCIÓN ESTRATEGICA Y PRESUPUESTAL
A SEPTIEMBRE 30 DE 2021
SECRETARIA DE INFRAESTRUCTURA
</t>
  </si>
  <si>
    <t xml:space="preserve">CONSOLIDADO DE EJECUCIÓN ESTRATEGICA Y PRESUPUESTAL
A SEPTIEMBRE 30 DE 2021
SECRETARÍA DE TRANSITO
</t>
  </si>
  <si>
    <t xml:space="preserve">CONSOLIDADO DE EJECUCIÓN ESTRATEGICA Y PRESUPUESTAL
A SEPTIEMBRE 30 DE 2021
SECRETARÍA TICS
</t>
  </si>
  <si>
    <t xml:space="preserve">CONSOLIDADO DE EJECUCIÓN PRESUPUESTAL
A SEPTIEMBRE 30 DE 2021
FORTALECIMIENTO INSTITUCIONAL
</t>
  </si>
  <si>
    <t xml:space="preserve">CONSOLIDADO DE EJECUCIÓN PRESUPUESTAL
A SEPTIEMBRE 30 DE 2021
JURIDICA
</t>
  </si>
  <si>
    <t xml:space="preserve">CONSOLIDADO DE EJECUCIÓN ESTRATEGICA Y PRESUPUESTAL
A SEPTIEMBRE 30 DE 2021
DEPARTAMENTO ADMINSITRATIVO DE BIENES Y SUMINISTROS
</t>
  </si>
  <si>
    <t xml:space="preserve">CONSOLIDADO DE EJECUCIÓN ESTRATEGICA Y PRESUPUESTAL
A SEPTIEMBRE 30 DE 2021
DEPARTAMENTO ADMISNITRATIVO DE PLANEACIÓN
</t>
  </si>
  <si>
    <t xml:space="preserve">CONSOLIDADO DE EJECUCIÓN ESTRATEGICA Y PRESUPUESTAL
A SEPTIEMBRE 30 DE 2021
DEPARTAMENTO ADMISNITRATIVO  DE CONTROL INTERNO
</t>
  </si>
  <si>
    <t xml:space="preserve">CONSOLIDADO DE EJECUCIÓN ESTRATEGICA Y PRESUPUESTAL
A SEPTIEMBRE 30 DE 2021
DEPARTAMENTO ADMISNITRATIVO DE CONTROL INTERNO DISCIPLINARIO
</t>
  </si>
  <si>
    <t xml:space="preserve">CONSOLIDADO DE EJECUCIÓN ESTRATEGICA Y PRESUPUESTAL
A SEPTIEMBRE 30 DE 2021
FOMVIVIENDA
</t>
  </si>
  <si>
    <t xml:space="preserve">CONSOLIDADO DE EJECUCIÓN PRESUPUESTAL
A SEPTIEMBRE 30 DE 2021
EDUA
</t>
  </si>
  <si>
    <t xml:space="preserve">CONSOLIDADO DE EJECUCIÓN ESTRATEGICA Y PRESUPUESTAL
A SEPTIEMBRE  30 DE 2021
CORPOCULTURA
</t>
  </si>
  <si>
    <t xml:space="preserve">CONSOLIDADO DE EJECUCIÓN ESTRATEGICA Y PRESUPUESTAL
A SEPTIEMBRE 30 DE 2021
IMDERA
</t>
  </si>
  <si>
    <t xml:space="preserve">CONSOLIDADO DE EJECUCIÓN ESTRATEGICA Y PRESUPUESTAL
A SEPTIEMBRE 30 2021
EMPRESAS PÚBLICAS DE ARMENIA EPA 
</t>
  </si>
  <si>
    <t xml:space="preserve">CONSOLIDADO DE EJECUCIÓN ESTRATEGICA Y PRESUPUESTAL
A SEPTIEMBRE 30 DE 2021
AMABLE
</t>
  </si>
  <si>
    <t xml:space="preserve">CONSOLIDADO DE EJECUCIÓN ESTRATEGICA Y PRESUPUESTAL
A SEPTIEMBRE 30 DE 2021
REDSALUD
</t>
  </si>
  <si>
    <t>Sistema de Gestión para la Planificación Integral (Asesoria Administrativa)</t>
  </si>
  <si>
    <t>0%-50%</t>
  </si>
  <si>
    <t>51%-74%</t>
  </si>
  <si>
    <t>75%-100%</t>
  </si>
  <si>
    <t>Recursos Gestionados</t>
  </si>
  <si>
    <t>51%-75%</t>
  </si>
  <si>
    <t>76%-100%</t>
  </si>
  <si>
    <t>76-100%</t>
  </si>
  <si>
    <t>Sistema de Gestión para la Planificación Integral (Asesoria de Proyectos Estratégicos)</t>
  </si>
  <si>
    <t>INFRAESTRUCTURA DE LOS PROCESOS CULTURALES Y ARTISTICOS DEL MUNICIPIO</t>
  </si>
  <si>
    <t>INFRAESTRUCTURA PARA LA ACTIVIDAD FISICA, EL DEPORTE Y LA RECREACIÓN EN EL MUNICIPIO DE ARMENIA</t>
  </si>
  <si>
    <t>MANTENIMIENTO DE LA INFRAESTRUCTURA DE LOS CENTROS DE ACOPIO</t>
  </si>
  <si>
    <t xml:space="preserve"> ALUMBRADO PUBLICO </t>
  </si>
  <si>
    <t>CONSTRUCCIÓN, MANTENIMIENTO Y OBRAS COMPLEMENTARIAS A LA INFRAESTRUCTURA VIAL TANTO URBANA COMO RURAL DEL MUNICIPIO</t>
  </si>
  <si>
    <t>ADECUACIÓN DE LOS CENTROS CULTURALES Y ARTÍSTICOS DEL MUNICIPIO ARMENIA</t>
  </si>
  <si>
    <t xml:space="preserve">CONSTRUCCIÓN, REPARACIÓN, MANTENIMIENTO Y AMPLIACIÓN DE LA INFRAESTRUCTURA TURÍSTICA DEL MUNICIPIO </t>
  </si>
  <si>
    <t xml:space="preserve">CONSTRUCCIÓN, AMPLIACIÓN Y MEJORAMIENTO DEL ESPACIO PÚBLICO </t>
  </si>
  <si>
    <t>CONSTRUCCIÓN , REPARACIÓN , MANTENIMIENTO Y AMPLIACIÓN DE LA INFRAESTRUCTURA PARA LA PRIMERA INFANCIA ARMENIA</t>
  </si>
  <si>
    <t>FORMULACIÓN CONSTRUCCIÓN, REPARACIÓN, MANTENIMIENTO E INSTALACIÓN DE LA INFRAESTRUCTURA RECREODEPORTIVA DEL MUNICIPIO</t>
  </si>
  <si>
    <t>PROYECTOS ORIENTADOS A LA INFRAESTRUCTURA PÚBLICA ARMENIA</t>
  </si>
  <si>
    <t>CONSTRUCCIÓN,REPARACIÓN, MANTENIMIENTO Y  ADECUACIÓN DE CENTROS CULTURALES</t>
  </si>
  <si>
    <t>CONSTRUCCIÓN,REPARACIÓN, MANTENIMIENTO DE CENTRO DE PROTECCIÓN ANIMAL ARMENIA</t>
  </si>
  <si>
    <t>CONSTRUCCIÓN, REPARACIÓN,MANTENIMIENTO DEL ESPACIO URBANO</t>
  </si>
  <si>
    <t>PROYECTO DE INFRAESTRUCTURA PÚBLICA Y EL DESARROLLO URBANO</t>
  </si>
  <si>
    <t>INFRAESTRUCTURA DE LA RED VIAL URBANA ARMENIA</t>
  </si>
  <si>
    <t>ESTUDIOS DE PRE INVERSIÓN E INVERSIÓN PARA EL MEJORAMIENTO DEL ESPACIO URBANO</t>
  </si>
  <si>
    <t>FORMULACIÓN TRANSFERENCIA DE RECURSOS PASA SUBSIDIAR A LOS ESTRATOS UNO,DOS Y TRES EN ACUEDUCTO, ALCANTARILLADO Y ASEO ARMENIA</t>
  </si>
  <si>
    <t>DEPENDENCIA y/O ENTIDAD</t>
  </si>
  <si>
    <t>CONSOLIDADO DE EJECUCIÓN ESTRATEGICA Y PRESUPUESTAL
A SEPTIEMBRE 30 DE 2021
SECRETARÍA DE HACIENDA</t>
  </si>
  <si>
    <t>Reprogramación MEN</t>
  </si>
  <si>
    <t>Reprogrmación MEN por aspectos legales solo se hace por siniestros en las IE</t>
  </si>
  <si>
    <t>Reprogramación MEN no envio recursos</t>
  </si>
  <si>
    <t>Reprogramación MEN recursos a reducir Hacienda</t>
  </si>
  <si>
    <t xml:space="preserve">Reprogramación otras vigencias </t>
  </si>
  <si>
    <t xml:space="preserve">Reprogramación proyectada para otra vigencia </t>
  </si>
  <si>
    <t xml:space="preserve">Reprogramación (Decisión proceso gerencial)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</si>
</sst>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(&quot;$&quot;\ * #,##0.00_);_(&quot;$&quot;\ * \(#,##0.00\);_(&quot;$&quot;\ * &quot;-&quot;??_);_(@_)"/>
    <numFmt numFmtId="164" formatCode="&quot;$&quot;\ #,##0;\-&quot;$&quot;\ #,##0"/>
    <numFmt numFmtId="165" formatCode="_-* #,##0_-;\-* #,##0_-;_-* &quot;-&quot;_-;_-@_-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[$$-240A]\ #,##0"/>
    <numFmt numFmtId="169" formatCode="&quot;$&quot;\ #,##0"/>
    <numFmt numFmtId="170" formatCode="&quot;$&quot;\ #,##0.00"/>
    <numFmt numFmtId="171" formatCode="[$$-240A]\ #,##0.00"/>
    <numFmt numFmtId="172" formatCode="&quot;$&quot;#,##0.00"/>
    <numFmt numFmtId="173" formatCode="&quot;$&quot;#,##0;[Red]&quot;$&quot;#,##0"/>
    <numFmt numFmtId="174" formatCode="#,##0;[Red]#,##0"/>
    <numFmt numFmtId="175" formatCode="&quot;$&quot;#,##0;[Red]\-&quot;$&quot;#,##0"/>
    <numFmt numFmtId="176" formatCode="&quot;$&quot;#,##0"/>
    <numFmt numFmtId="177" formatCode="#,000_);[Red]\(#,000\)"/>
    <numFmt numFmtId="178" formatCode="&quot;$&quot;\ #,##0.0"/>
    <numFmt numFmtId="179" formatCode="_(&quot;$&quot;* #,##0_);_(&quot;$&quot;* \(#,##0\);_(&quot;$&quot;* &quot;-&quot;??_);_(@_)"/>
    <numFmt numFmtId="180" formatCode="_-[$$-240A]\ * #,##0.00_-;\-[$$-240A]\ * #,##0.00_-;_-[$$-240A]\ * &quot;-&quot;??_-;_-@_-"/>
    <numFmt numFmtId="181" formatCode="_(&quot;$&quot;\ * #,##0_);_(&quot;$&quot;\ * \(#,##0\);_(&quot;$&quot;\ 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sz val="14"/>
      <name val="Comic Sans MS"/>
      <family val="4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4" tint="0.59999389629810485"/>
        <bgColor rgb="FFFFFF9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E06B0A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0" fillId="27" borderId="37" applyNumberFormat="0" applyAlignment="0" applyProtection="0"/>
    <xf numFmtId="0" fontId="11" fillId="28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29" borderId="0" applyNumberFormat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3" fillId="20" borderId="39" applyNumberFormat="0" applyAlignment="0" applyProtection="0"/>
    <xf numFmtId="0" fontId="14" fillId="0" borderId="0" applyNumberFormat="0" applyFill="0" applyBorder="0" applyAlignment="0" applyProtection="0"/>
    <xf numFmtId="0" fontId="15" fillId="0" borderId="40" applyNumberFormat="0" applyFill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6">
    <xf numFmtId="0" fontId="0" fillId="0" borderId="0" xfId="0"/>
    <xf numFmtId="0" fontId="0" fillId="0" borderId="0" xfId="0"/>
    <xf numFmtId="0" fontId="0" fillId="0" borderId="0" xfId="0" applyFont="1"/>
    <xf numFmtId="3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justify" vertical="center" wrapText="1"/>
    </xf>
    <xf numFmtId="0" fontId="0" fillId="0" borderId="0" xfId="0" applyFont="1" applyBorder="1"/>
    <xf numFmtId="10" fontId="0" fillId="0" borderId="0" xfId="0" applyNumberFormat="1"/>
    <xf numFmtId="0" fontId="16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Fill="1"/>
    <xf numFmtId="3" fontId="15" fillId="0" borderId="0" xfId="0" applyNumberFormat="1" applyFont="1" applyBorder="1"/>
    <xf numFmtId="0" fontId="0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10" fontId="1" fillId="0" borderId="12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170" fontId="18" fillId="0" borderId="0" xfId="0" applyNumberFormat="1" applyFont="1" applyFill="1" applyBorder="1"/>
    <xf numFmtId="10" fontId="18" fillId="0" borderId="0" xfId="0" applyNumberFormat="1" applyFont="1" applyFill="1" applyBorder="1"/>
    <xf numFmtId="171" fontId="19" fillId="0" borderId="2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/>
    <xf numFmtId="10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 vertical="center"/>
    </xf>
    <xf numFmtId="171" fontId="19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17" xfId="0" applyNumberFormat="1" applyFont="1" applyBorder="1" applyAlignment="1">
      <alignment horizontal="center" vertical="center"/>
    </xf>
    <xf numFmtId="171" fontId="15" fillId="0" borderId="3" xfId="0" applyNumberFormat="1" applyFont="1" applyBorder="1" applyAlignment="1">
      <alignment horizontal="center" vertical="center"/>
    </xf>
    <xf numFmtId="171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30" borderId="8" xfId="0" applyNumberFormat="1" applyFont="1" applyFill="1" applyBorder="1" applyAlignment="1">
      <alignment horizontal="center" vertical="center"/>
    </xf>
    <xf numFmtId="3" fontId="15" fillId="31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0" borderId="0" xfId="0" applyNumberFormat="1" applyFont="1" applyFill="1" applyBorder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71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vertical="center"/>
    </xf>
    <xf numFmtId="0" fontId="0" fillId="32" borderId="0" xfId="0" applyFont="1" applyFill="1"/>
    <xf numFmtId="2" fontId="0" fillId="0" borderId="0" xfId="0" applyNumberFormat="1" applyFont="1" applyAlignment="1">
      <alignment wrapText="1"/>
    </xf>
    <xf numFmtId="3" fontId="0" fillId="0" borderId="0" xfId="0" applyNumberFormat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10" fontId="20" fillId="0" borderId="1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5" fillId="37" borderId="19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0" fontId="15" fillId="0" borderId="0" xfId="0" applyNumberFormat="1" applyFont="1" applyFill="1" applyBorder="1" applyAlignment="1">
      <alignment horizontal="center" wrapText="1"/>
    </xf>
    <xf numFmtId="171" fontId="15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 horizontal="center" wrapText="1"/>
    </xf>
    <xf numFmtId="10" fontId="22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10" fontId="19" fillId="0" borderId="28" xfId="0" applyNumberFormat="1" applyFont="1" applyBorder="1" applyAlignment="1">
      <alignment horizontal="center" vertical="center"/>
    </xf>
    <xf numFmtId="10" fontId="18" fillId="0" borderId="15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70" fontId="1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0" fontId="18" fillId="0" borderId="0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vertical="center"/>
    </xf>
    <xf numFmtId="171" fontId="19" fillId="0" borderId="48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ont="1"/>
    <xf numFmtId="1" fontId="1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/>
    <xf numFmtId="1" fontId="22" fillId="0" borderId="0" xfId="0" applyNumberFormat="1" applyFont="1" applyBorder="1" applyAlignment="1">
      <alignment horizontal="center" vertical="center" wrapText="1"/>
    </xf>
    <xf numFmtId="171" fontId="22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0" borderId="33" xfId="0" applyFont="1" applyFill="1" applyBorder="1" applyAlignment="1">
      <alignment horizontal="center" vertical="center" wrapText="1"/>
    </xf>
    <xf numFmtId="0" fontId="4" fillId="30" borderId="3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0" borderId="33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right"/>
    </xf>
    <xf numFmtId="3" fontId="22" fillId="31" borderId="14" xfId="0" applyNumberFormat="1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right"/>
    </xf>
    <xf numFmtId="3" fontId="22" fillId="30" borderId="8" xfId="0" applyNumberFormat="1" applyFont="1" applyFill="1" applyBorder="1" applyAlignment="1">
      <alignment horizontal="center" vertical="center"/>
    </xf>
    <xf numFmtId="3" fontId="20" fillId="0" borderId="24" xfId="0" applyNumberFormat="1" applyFont="1" applyBorder="1" applyAlignment="1">
      <alignment horizontal="right"/>
    </xf>
    <xf numFmtId="3" fontId="22" fillId="37" borderId="19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9" fillId="0" borderId="23" xfId="0" applyNumberFormat="1" applyFont="1" applyBorder="1" applyAlignment="1">
      <alignment horizontal="right"/>
    </xf>
    <xf numFmtId="3" fontId="18" fillId="31" borderId="14" xfId="0" applyNumberFormat="1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/>
    </xf>
    <xf numFmtId="3" fontId="18" fillId="30" borderId="8" xfId="0" applyNumberFormat="1" applyFont="1" applyFill="1" applyBorder="1" applyAlignment="1">
      <alignment horizontal="center" vertical="center"/>
    </xf>
    <xf numFmtId="3" fontId="19" fillId="0" borderId="24" xfId="0" applyNumberFormat="1" applyFont="1" applyBorder="1" applyAlignment="1">
      <alignment horizontal="right"/>
    </xf>
    <xf numFmtId="3" fontId="18" fillId="37" borderId="19" xfId="0" applyNumberFormat="1" applyFont="1" applyFill="1" applyBorder="1" applyAlignment="1">
      <alignment horizontal="center" vertical="center"/>
    </xf>
    <xf numFmtId="3" fontId="18" fillId="0" borderId="3" xfId="0" applyNumberFormat="1" applyFont="1" applyBorder="1"/>
    <xf numFmtId="3" fontId="18" fillId="0" borderId="15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71" fontId="18" fillId="0" borderId="3" xfId="0" applyNumberFormat="1" applyFont="1" applyBorder="1" applyAlignment="1">
      <alignment horizontal="center" vertical="center"/>
    </xf>
    <xf numFmtId="171" fontId="18" fillId="0" borderId="13" xfId="0" applyNumberFormat="1" applyFont="1" applyBorder="1" applyAlignment="1">
      <alignment horizontal="center" vertical="center"/>
    </xf>
    <xf numFmtId="171" fontId="19" fillId="0" borderId="16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9" fillId="32" borderId="5" xfId="0" applyFont="1" applyFill="1" applyBorder="1" applyAlignment="1">
      <alignment horizontal="left" vertical="center" wrapText="1"/>
    </xf>
    <xf numFmtId="0" fontId="19" fillId="32" borderId="6" xfId="0" applyFont="1" applyFill="1" applyBorder="1" applyAlignment="1">
      <alignment horizontal="left" vertical="center" wrapText="1"/>
    </xf>
    <xf numFmtId="0" fontId="19" fillId="32" borderId="7" xfId="0" applyFont="1" applyFill="1" applyBorder="1" applyAlignment="1">
      <alignment horizontal="left" vertical="center" wrapText="1"/>
    </xf>
    <xf numFmtId="0" fontId="19" fillId="32" borderId="6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10" fontId="18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2" xfId="0" applyFont="1" applyFill="1" applyBorder="1" applyAlignment="1">
      <alignment wrapText="1"/>
    </xf>
    <xf numFmtId="0" fontId="18" fillId="0" borderId="43" xfId="0" applyFont="1" applyFill="1" applyBorder="1" applyAlignment="1">
      <alignment horizontal="center" wrapText="1"/>
    </xf>
    <xf numFmtId="10" fontId="18" fillId="0" borderId="9" xfId="0" applyNumberFormat="1" applyFont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3" fontId="18" fillId="31" borderId="8" xfId="0" applyNumberFormat="1" applyFont="1" applyFill="1" applyBorder="1" applyAlignment="1">
      <alignment horizontal="center" vertical="center"/>
    </xf>
    <xf numFmtId="10" fontId="1" fillId="0" borderId="41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3" fontId="19" fillId="0" borderId="18" xfId="0" applyNumberFormat="1" applyFont="1" applyBorder="1"/>
    <xf numFmtId="3" fontId="18" fillId="0" borderId="18" xfId="0" applyNumberFormat="1" applyFont="1" applyFill="1" applyBorder="1" applyAlignment="1">
      <alignment horizontal="center" vertical="center"/>
    </xf>
    <xf numFmtId="170" fontId="19" fillId="0" borderId="2" xfId="0" applyNumberFormat="1" applyFont="1" applyBorder="1" applyAlignment="1">
      <alignment horizontal="center" vertical="center"/>
    </xf>
    <xf numFmtId="170" fontId="19" fillId="0" borderId="16" xfId="0" applyNumberFormat="1" applyFont="1" applyBorder="1" applyAlignment="1">
      <alignment horizontal="center" vertical="center"/>
    </xf>
    <xf numFmtId="9" fontId="19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/>
    <xf numFmtId="10" fontId="2" fillId="0" borderId="18" xfId="0" applyNumberFormat="1" applyFont="1" applyFill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6" fontId="19" fillId="0" borderId="16" xfId="0" applyNumberFormat="1" applyFont="1" applyFill="1" applyBorder="1" applyAlignment="1">
      <alignment horizontal="center" vertical="center"/>
    </xf>
    <xf numFmtId="3" fontId="19" fillId="37" borderId="19" xfId="0" applyNumberFormat="1" applyFont="1" applyFill="1" applyBorder="1" applyAlignment="1">
      <alignment horizontal="center" vertical="center"/>
    </xf>
    <xf numFmtId="169" fontId="19" fillId="0" borderId="2" xfId="0" applyNumberFormat="1" applyFont="1" applyBorder="1" applyAlignment="1">
      <alignment horizontal="center" vertical="center"/>
    </xf>
    <xf numFmtId="169" fontId="19" fillId="0" borderId="16" xfId="0" applyNumberFormat="1" applyFont="1" applyBorder="1" applyAlignment="1">
      <alignment horizontal="center" vertical="center"/>
    </xf>
    <xf numFmtId="0" fontId="19" fillId="39" borderId="6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wrapText="1"/>
    </xf>
    <xf numFmtId="10" fontId="18" fillId="0" borderId="0" xfId="0" applyNumberFormat="1" applyFont="1" applyBorder="1" applyAlignment="1">
      <alignment horizontal="center"/>
    </xf>
    <xf numFmtId="171" fontId="18" fillId="0" borderId="0" xfId="0" applyNumberFormat="1" applyFont="1" applyBorder="1" applyAlignment="1">
      <alignment wrapText="1"/>
    </xf>
    <xf numFmtId="171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8" fillId="0" borderId="13" xfId="0" applyFont="1" applyFill="1" applyBorder="1" applyAlignment="1">
      <alignment horizontal="center" vertical="center"/>
    </xf>
    <xf numFmtId="10" fontId="19" fillId="4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10" fontId="18" fillId="37" borderId="0" xfId="0" applyNumberFormat="1" applyFont="1" applyFill="1" applyBorder="1" applyAlignment="1">
      <alignment horizontal="center" vertical="center"/>
    </xf>
    <xf numFmtId="10" fontId="19" fillId="37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/>
    </xf>
    <xf numFmtId="10" fontId="19" fillId="0" borderId="0" xfId="0" applyNumberFormat="1" applyFont="1"/>
    <xf numFmtId="171" fontId="2" fillId="0" borderId="0" xfId="0" applyNumberFormat="1" applyFont="1" applyFill="1" applyBorder="1" applyAlignment="1">
      <alignment horizontal="center" vertical="center"/>
    </xf>
    <xf numFmtId="10" fontId="1" fillId="37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3" fontId="18" fillId="37" borderId="9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/>
    <xf numFmtId="3" fontId="18" fillId="0" borderId="17" xfId="0" applyNumberFormat="1" applyFont="1" applyFill="1" applyBorder="1" applyAlignment="1">
      <alignment horizontal="center" vertical="center"/>
    </xf>
    <xf numFmtId="0" fontId="19" fillId="33" borderId="0" xfId="0" applyFont="1" applyFill="1"/>
    <xf numFmtId="9" fontId="19" fillId="37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0" fontId="19" fillId="37" borderId="0" xfId="0" applyNumberFormat="1" applyFont="1" applyFill="1" applyAlignment="1">
      <alignment horizontal="center"/>
    </xf>
    <xf numFmtId="10" fontId="18" fillId="37" borderId="0" xfId="0" applyNumberFormat="1" applyFont="1" applyFill="1" applyAlignment="1">
      <alignment horizontal="center"/>
    </xf>
    <xf numFmtId="10" fontId="0" fillId="37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 vertical="center"/>
    </xf>
    <xf numFmtId="3" fontId="19" fillId="40" borderId="8" xfId="0" applyNumberFormat="1" applyFont="1" applyFill="1" applyBorder="1" applyAlignment="1">
      <alignment horizontal="center" vertical="center"/>
    </xf>
    <xf numFmtId="3" fontId="19" fillId="42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10" fontId="0" fillId="0" borderId="0" xfId="0" applyNumberFormat="1" applyFont="1"/>
    <xf numFmtId="169" fontId="18" fillId="0" borderId="13" xfId="0" applyNumberFormat="1" applyFont="1" applyFill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3" fillId="30" borderId="34" xfId="0" applyFont="1" applyFill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right"/>
    </xf>
    <xf numFmtId="3" fontId="28" fillId="31" borderId="14" xfId="0" applyNumberFormat="1" applyFont="1" applyFill="1" applyBorder="1" applyAlignment="1">
      <alignment horizontal="center" vertical="center"/>
    </xf>
    <xf numFmtId="10" fontId="30" fillId="0" borderId="12" xfId="0" applyNumberFormat="1" applyFont="1" applyFill="1" applyBorder="1" applyAlignment="1">
      <alignment horizontal="center" vertical="center"/>
    </xf>
    <xf numFmtId="3" fontId="29" fillId="0" borderId="6" xfId="0" applyNumberFormat="1" applyFont="1" applyBorder="1" applyAlignment="1">
      <alignment horizontal="right"/>
    </xf>
    <xf numFmtId="3" fontId="28" fillId="30" borderId="8" xfId="0" applyNumberFormat="1" applyFont="1" applyFill="1" applyBorder="1" applyAlignment="1">
      <alignment horizontal="center" vertical="center"/>
    </xf>
    <xf numFmtId="3" fontId="28" fillId="37" borderId="19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10" fontId="30" fillId="0" borderId="0" xfId="0" applyNumberFormat="1" applyFont="1" applyFill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17" fillId="0" borderId="5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10" fontId="32" fillId="0" borderId="10" xfId="0" applyNumberFormat="1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10" fontId="32" fillId="0" borderId="8" xfId="0" applyNumberFormat="1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10" fontId="32" fillId="0" borderId="8" xfId="0" applyNumberFormat="1" applyFont="1" applyFill="1" applyBorder="1" applyAlignment="1">
      <alignment horizontal="center" vertical="center" wrapText="1"/>
    </xf>
    <xf numFmtId="10" fontId="17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wrapText="1"/>
    </xf>
    <xf numFmtId="1" fontId="17" fillId="0" borderId="19" xfId="0" applyNumberFormat="1" applyFont="1" applyFill="1" applyBorder="1" applyAlignment="1">
      <alignment horizontal="center" vertical="center" wrapText="1"/>
    </xf>
    <xf numFmtId="10" fontId="32" fillId="0" borderId="19" xfId="0" applyNumberFormat="1" applyFont="1" applyBorder="1" applyAlignment="1">
      <alignment horizontal="center" vertical="center" wrapText="1"/>
    </xf>
    <xf numFmtId="10" fontId="17" fillId="0" borderId="41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wrapText="1"/>
    </xf>
    <xf numFmtId="0" fontId="17" fillId="0" borderId="21" xfId="0" applyFont="1" applyFill="1" applyBorder="1" applyAlignment="1">
      <alignment horizontal="center" wrapText="1"/>
    </xf>
    <xf numFmtId="10" fontId="17" fillId="0" borderId="21" xfId="0" applyNumberFormat="1" applyFont="1" applyFill="1" applyBorder="1" applyAlignment="1">
      <alignment horizontal="center" wrapText="1"/>
    </xf>
    <xf numFmtId="171" fontId="17" fillId="0" borderId="13" xfId="0" applyNumberFormat="1" applyFont="1" applyFill="1" applyBorder="1" applyAlignment="1">
      <alignment horizontal="center" vertical="center"/>
    </xf>
    <xf numFmtId="10" fontId="32" fillId="0" borderId="15" xfId="0" applyNumberFormat="1" applyFont="1" applyFill="1" applyBorder="1" applyAlignment="1">
      <alignment horizontal="center" vertical="center"/>
    </xf>
    <xf numFmtId="10" fontId="31" fillId="0" borderId="0" xfId="0" applyNumberFormat="1" applyFont="1"/>
    <xf numFmtId="0" fontId="21" fillId="0" borderId="0" xfId="0" applyFont="1" applyFill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 wrapText="1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Alignment="1">
      <alignment horizontal="right"/>
    </xf>
    <xf numFmtId="171" fontId="31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right"/>
    </xf>
    <xf numFmtId="3" fontId="17" fillId="31" borderId="14" xfId="0" applyNumberFormat="1" applyFont="1" applyFill="1" applyBorder="1" applyAlignment="1">
      <alignment horizontal="center" vertical="center"/>
    </xf>
    <xf numFmtId="10" fontId="35" fillId="0" borderId="12" xfId="0" applyNumberFormat="1" applyFont="1" applyFill="1" applyBorder="1" applyAlignment="1">
      <alignment horizontal="center" vertical="center"/>
    </xf>
    <xf numFmtId="3" fontId="34" fillId="0" borderId="6" xfId="0" applyNumberFormat="1" applyFont="1" applyBorder="1" applyAlignment="1">
      <alignment horizontal="right"/>
    </xf>
    <xf numFmtId="3" fontId="17" fillId="30" borderId="8" xfId="0" applyNumberFormat="1" applyFont="1" applyFill="1" applyBorder="1" applyAlignment="1">
      <alignment horizontal="center" vertical="center"/>
    </xf>
    <xf numFmtId="3" fontId="34" fillId="0" borderId="24" xfId="0" applyNumberFormat="1" applyFont="1" applyBorder="1" applyAlignment="1">
      <alignment horizontal="right"/>
    </xf>
    <xf numFmtId="3" fontId="17" fillId="37" borderId="19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right"/>
    </xf>
    <xf numFmtId="3" fontId="17" fillId="0" borderId="15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right"/>
    </xf>
    <xf numFmtId="0" fontId="34" fillId="0" borderId="0" xfId="0" applyFont="1"/>
    <xf numFmtId="3" fontId="34" fillId="0" borderId="0" xfId="0" applyNumberFormat="1" applyFont="1" applyAlignment="1">
      <alignment horizontal="right"/>
    </xf>
    <xf numFmtId="9" fontId="34" fillId="0" borderId="24" xfId="0" applyNumberFormat="1" applyFont="1" applyBorder="1" applyAlignment="1">
      <alignment horizontal="right"/>
    </xf>
    <xf numFmtId="0" fontId="36" fillId="0" borderId="0" xfId="0" applyFont="1"/>
    <xf numFmtId="3" fontId="17" fillId="0" borderId="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171" fontId="34" fillId="0" borderId="2" xfId="0" applyNumberFormat="1" applyFont="1" applyBorder="1" applyAlignment="1">
      <alignment horizontal="right" vertical="center"/>
    </xf>
    <xf numFmtId="171" fontId="34" fillId="0" borderId="16" xfId="31" applyNumberFormat="1" applyFont="1" applyBorder="1" applyAlignment="1">
      <alignment horizontal="right" vertical="center"/>
    </xf>
    <xf numFmtId="10" fontId="34" fillId="0" borderId="17" xfId="0" applyNumberFormat="1" applyFont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horizontal="right" vertical="center"/>
    </xf>
    <xf numFmtId="169" fontId="17" fillId="0" borderId="8" xfId="0" applyNumberFormat="1" applyFont="1" applyFill="1" applyBorder="1" applyAlignment="1">
      <alignment horizontal="right" vertical="center"/>
    </xf>
    <xf numFmtId="169" fontId="17" fillId="0" borderId="19" xfId="0" applyNumberFormat="1" applyFont="1" applyFill="1" applyBorder="1" applyAlignment="1">
      <alignment horizontal="right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right" vertical="center"/>
    </xf>
    <xf numFmtId="169" fontId="17" fillId="0" borderId="13" xfId="0" applyNumberFormat="1" applyFont="1" applyFill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vertical="center"/>
    </xf>
    <xf numFmtId="169" fontId="17" fillId="0" borderId="8" xfId="0" applyNumberFormat="1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173" fontId="35" fillId="0" borderId="10" xfId="0" applyNumberFormat="1" applyFont="1" applyBorder="1" applyAlignment="1">
      <alignment vertical="center" wrapText="1"/>
    </xf>
    <xf numFmtId="10" fontId="34" fillId="0" borderId="11" xfId="0" applyNumberFormat="1" applyFont="1" applyBorder="1" applyAlignment="1">
      <alignment horizontal="center" vertical="center" wrapText="1"/>
    </xf>
    <xf numFmtId="173" fontId="35" fillId="0" borderId="14" xfId="0" applyNumberFormat="1" applyFont="1" applyBorder="1" applyAlignment="1">
      <alignment vertical="center" wrapText="1"/>
    </xf>
    <xf numFmtId="10" fontId="34" fillId="0" borderId="12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vertical="center" wrapText="1"/>
    </xf>
    <xf numFmtId="0" fontId="34" fillId="0" borderId="8" xfId="0" applyFont="1" applyFill="1" applyBorder="1" applyAlignment="1">
      <alignment horizontal="center" vertical="center" wrapText="1"/>
    </xf>
    <xf numFmtId="10" fontId="35" fillId="0" borderId="8" xfId="0" applyNumberFormat="1" applyFont="1" applyBorder="1" applyAlignment="1">
      <alignment horizontal="center" vertical="center" wrapText="1"/>
    </xf>
    <xf numFmtId="174" fontId="35" fillId="0" borderId="8" xfId="0" applyNumberFormat="1" applyFont="1" applyBorder="1" applyAlignment="1">
      <alignment vertical="center" wrapText="1"/>
    </xf>
    <xf numFmtId="169" fontId="35" fillId="0" borderId="8" xfId="0" applyNumberFormat="1" applyFont="1" applyBorder="1" applyAlignment="1">
      <alignment horizontal="right" vertical="center" wrapText="1"/>
    </xf>
    <xf numFmtId="10" fontId="34" fillId="0" borderId="4" xfId="0" applyNumberFormat="1" applyFont="1" applyBorder="1" applyAlignment="1">
      <alignment horizontal="center" vertical="center" wrapText="1"/>
    </xf>
    <xf numFmtId="173" fontId="35" fillId="0" borderId="8" xfId="0" applyNumberFormat="1" applyFont="1" applyBorder="1" applyAlignment="1">
      <alignment vertical="center" wrapText="1"/>
    </xf>
    <xf numFmtId="169" fontId="34" fillId="32" borderId="8" xfId="0" applyNumberFormat="1" applyFont="1" applyFill="1" applyBorder="1" applyAlignment="1">
      <alignment vertical="center" wrapText="1"/>
    </xf>
    <xf numFmtId="176" fontId="35" fillId="0" borderId="8" xfId="0" applyNumberFormat="1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10" fontId="35" fillId="0" borderId="9" xfId="0" applyNumberFormat="1" applyFont="1" applyBorder="1" applyAlignment="1">
      <alignment horizontal="center" vertical="center" wrapText="1"/>
    </xf>
    <xf numFmtId="173" fontId="35" fillId="0" borderId="9" xfId="0" applyNumberFormat="1" applyFont="1" applyBorder="1" applyAlignment="1">
      <alignment vertical="center" wrapText="1"/>
    </xf>
    <xf numFmtId="10" fontId="34" fillId="0" borderId="27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0" fontId="32" fillId="0" borderId="16" xfId="0" applyNumberFormat="1" applyFont="1" applyBorder="1" applyAlignment="1">
      <alignment horizontal="center" vertical="center" wrapText="1"/>
    </xf>
    <xf numFmtId="169" fontId="17" fillId="0" borderId="16" xfId="0" applyNumberFormat="1" applyFont="1" applyFill="1" applyBorder="1" applyAlignment="1">
      <alignment horizontal="center" vertical="center"/>
    </xf>
    <xf numFmtId="10" fontId="17" fillId="0" borderId="17" xfId="0" applyNumberFormat="1" applyFont="1" applyBorder="1" applyAlignment="1">
      <alignment horizontal="center" vertical="center" wrapText="1"/>
    </xf>
    <xf numFmtId="169" fontId="17" fillId="0" borderId="16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10" fontId="34" fillId="0" borderId="10" xfId="0" applyNumberFormat="1" applyFont="1" applyBorder="1" applyAlignment="1">
      <alignment horizontal="center" vertical="center" wrapText="1"/>
    </xf>
    <xf numFmtId="169" fontId="34" fillId="0" borderId="10" xfId="0" applyNumberFormat="1" applyFont="1" applyBorder="1" applyAlignment="1">
      <alignment horizontal="center" vertical="center" wrapText="1"/>
    </xf>
    <xf numFmtId="10" fontId="35" fillId="0" borderId="11" xfId="0" applyNumberFormat="1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0" fontId="34" fillId="0" borderId="8" xfId="0" applyNumberFormat="1" applyFont="1" applyBorder="1" applyAlignment="1">
      <alignment horizontal="center" vertical="center" wrapText="1"/>
    </xf>
    <xf numFmtId="169" fontId="34" fillId="0" borderId="8" xfId="0" applyNumberFormat="1" applyFont="1" applyBorder="1" applyAlignment="1">
      <alignment horizontal="center" vertical="center" wrapText="1"/>
    </xf>
    <xf numFmtId="10" fontId="35" fillId="0" borderId="4" xfId="0" applyNumberFormat="1" applyFont="1" applyFill="1" applyBorder="1" applyAlignment="1">
      <alignment horizontal="center" vertical="center" wrapText="1"/>
    </xf>
    <xf numFmtId="169" fontId="34" fillId="0" borderId="8" xfId="0" applyNumberFormat="1" applyFont="1" applyFill="1" applyBorder="1" applyAlignment="1">
      <alignment horizontal="center" vertical="center" wrapText="1"/>
    </xf>
    <xf numFmtId="10" fontId="34" fillId="37" borderId="8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10" fontId="34" fillId="0" borderId="9" xfId="0" applyNumberFormat="1" applyFont="1" applyBorder="1" applyAlignment="1">
      <alignment horizontal="center" vertical="center" wrapText="1"/>
    </xf>
    <xf numFmtId="169" fontId="34" fillId="0" borderId="9" xfId="0" applyNumberFormat="1" applyFont="1" applyFill="1" applyBorder="1" applyAlignment="1">
      <alignment horizontal="center" vertical="center" wrapText="1"/>
    </xf>
    <xf numFmtId="10" fontId="35" fillId="37" borderId="27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10" fontId="17" fillId="0" borderId="16" xfId="0" applyNumberFormat="1" applyFont="1" applyBorder="1" applyAlignment="1">
      <alignment horizontal="center" vertical="center" wrapText="1"/>
    </xf>
    <xf numFmtId="169" fontId="32" fillId="0" borderId="16" xfId="0" applyNumberFormat="1" applyFont="1" applyFill="1" applyBorder="1" applyAlignment="1">
      <alignment horizontal="center" vertical="center" wrapText="1"/>
    </xf>
    <xf numFmtId="10" fontId="17" fillId="0" borderId="17" xfId="0" applyNumberFormat="1" applyFont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34" fillId="38" borderId="5" xfId="0" applyFont="1" applyFill="1" applyBorder="1" applyAlignment="1">
      <alignment vertical="center" wrapText="1"/>
    </xf>
    <xf numFmtId="176" fontId="35" fillId="41" borderId="10" xfId="0" applyNumberFormat="1" applyFont="1" applyFill="1" applyBorder="1" applyAlignment="1">
      <alignment horizontal="right" vertical="center" wrapText="1"/>
    </xf>
    <xf numFmtId="10" fontId="35" fillId="0" borderId="11" xfId="0" applyNumberFormat="1" applyFont="1" applyFill="1" applyBorder="1" applyAlignment="1">
      <alignment horizontal="center" vertical="center"/>
    </xf>
    <xf numFmtId="0" fontId="34" fillId="38" borderId="6" xfId="0" applyFont="1" applyFill="1" applyBorder="1" applyAlignment="1">
      <alignment vertical="center" wrapText="1"/>
    </xf>
    <xf numFmtId="176" fontId="35" fillId="41" borderId="8" xfId="0" applyNumberFormat="1" applyFont="1" applyFill="1" applyBorder="1" applyAlignment="1">
      <alignment horizontal="right" vertical="center" wrapText="1"/>
    </xf>
    <xf numFmtId="10" fontId="35" fillId="0" borderId="4" xfId="0" applyNumberFormat="1" applyFont="1" applyFill="1" applyBorder="1" applyAlignment="1">
      <alignment horizontal="center" vertical="center"/>
    </xf>
    <xf numFmtId="0" fontId="34" fillId="32" borderId="6" xfId="0" applyFont="1" applyFill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176" fontId="35" fillId="41" borderId="19" xfId="0" applyNumberFormat="1" applyFont="1" applyFill="1" applyBorder="1" applyAlignment="1">
      <alignment horizontal="right" vertical="center" wrapText="1"/>
    </xf>
    <xf numFmtId="0" fontId="34" fillId="32" borderId="8" xfId="0" applyFont="1" applyFill="1" applyBorder="1" applyAlignment="1">
      <alignment horizontal="center" vertical="center" wrapText="1"/>
    </xf>
    <xf numFmtId="0" fontId="34" fillId="38" borderId="9" xfId="0" applyFont="1" applyFill="1" applyBorder="1" applyAlignment="1">
      <alignment horizontal="center" vertical="center" wrapText="1"/>
    </xf>
    <xf numFmtId="176" fontId="35" fillId="41" borderId="9" xfId="0" applyNumberFormat="1" applyFont="1" applyFill="1" applyBorder="1" applyAlignment="1">
      <alignment horizontal="right" vertical="center" wrapText="1"/>
    </xf>
    <xf numFmtId="10" fontId="35" fillId="0" borderId="27" xfId="0" applyNumberFormat="1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 wrapText="1"/>
    </xf>
    <xf numFmtId="10" fontId="17" fillId="0" borderId="14" xfId="0" applyNumberFormat="1" applyFont="1" applyBorder="1" applyAlignment="1">
      <alignment horizontal="center" vertical="center" wrapText="1"/>
    </xf>
    <xf numFmtId="10" fontId="32" fillId="0" borderId="17" xfId="0" applyNumberFormat="1" applyFont="1" applyFill="1" applyBorder="1" applyAlignment="1">
      <alignment horizontal="center" vertical="center"/>
    </xf>
    <xf numFmtId="3" fontId="28" fillId="0" borderId="3" xfId="0" applyNumberFormat="1" applyFont="1" applyBorder="1"/>
    <xf numFmtId="3" fontId="27" fillId="0" borderId="0" xfId="0" applyNumberFormat="1" applyFont="1"/>
    <xf numFmtId="3" fontId="22" fillId="0" borderId="3" xfId="0" applyNumberFormat="1" applyFont="1" applyBorder="1"/>
    <xf numFmtId="3" fontId="20" fillId="0" borderId="0" xfId="0" applyNumberFormat="1" applyFont="1" applyFill="1"/>
    <xf numFmtId="171" fontId="20" fillId="0" borderId="2" xfId="0" applyNumberFormat="1" applyFont="1" applyBorder="1" applyAlignment="1">
      <alignment horizontal="center" vertical="center"/>
    </xf>
    <xf numFmtId="171" fontId="20" fillId="0" borderId="16" xfId="31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 applyFont="1" applyBorder="1"/>
    <xf numFmtId="3" fontId="17" fillId="38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/>
    <xf numFmtId="0" fontId="34" fillId="0" borderId="5" xfId="0" applyFont="1" applyBorder="1" applyAlignment="1">
      <alignment horizontal="left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69" fontId="35" fillId="0" borderId="10" xfId="29" applyNumberFormat="1" applyFont="1" applyFill="1" applyBorder="1" applyAlignment="1">
      <alignment vertical="center" wrapText="1"/>
    </xf>
    <xf numFmtId="0" fontId="34" fillId="0" borderId="6" xfId="0" applyFont="1" applyBorder="1" applyAlignment="1">
      <alignment horizontal="left" vertical="center" wrapText="1"/>
    </xf>
    <xf numFmtId="1" fontId="34" fillId="0" borderId="8" xfId="0" applyNumberFormat="1" applyFont="1" applyBorder="1" applyAlignment="1">
      <alignment horizontal="center" vertical="center" wrapText="1"/>
    </xf>
    <xf numFmtId="169" fontId="35" fillId="0" borderId="8" xfId="29" applyNumberFormat="1" applyFont="1" applyFill="1" applyBorder="1" applyAlignment="1">
      <alignment vertical="center" wrapText="1"/>
    </xf>
    <xf numFmtId="169" fontId="35" fillId="0" borderId="8" xfId="0" applyNumberFormat="1" applyFont="1" applyFill="1" applyBorder="1" applyAlignment="1">
      <alignment vertical="center" wrapText="1"/>
    </xf>
    <xf numFmtId="167" fontId="35" fillId="0" borderId="8" xfId="40" applyNumberFormat="1" applyFont="1" applyFill="1" applyBorder="1" applyAlignment="1">
      <alignment vertical="center"/>
    </xf>
    <xf numFmtId="167" fontId="35" fillId="0" borderId="8" xfId="40" applyNumberFormat="1" applyFont="1" applyBorder="1" applyAlignment="1">
      <alignment vertical="center"/>
    </xf>
    <xf numFmtId="0" fontId="34" fillId="0" borderId="6" xfId="0" quotePrefix="1" applyFont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1" fontId="34" fillId="0" borderId="9" xfId="0" applyNumberFormat="1" applyFont="1" applyBorder="1" applyAlignment="1">
      <alignment horizontal="center" vertical="center" wrapText="1"/>
    </xf>
    <xf numFmtId="169" fontId="35" fillId="0" borderId="9" xfId="0" applyNumberFormat="1" applyFont="1" applyFill="1" applyBorder="1" applyAlignment="1">
      <alignment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0" fontId="17" fillId="0" borderId="43" xfId="0" applyNumberFormat="1" applyFont="1" applyFill="1" applyBorder="1" applyAlignment="1">
      <alignment horizontal="center" vertical="center" wrapText="1"/>
    </xf>
    <xf numFmtId="168" fontId="17" fillId="0" borderId="16" xfId="0" applyNumberFormat="1" applyFont="1" applyFill="1" applyBorder="1" applyAlignment="1">
      <alignment horizontal="center" vertical="center"/>
    </xf>
    <xf numFmtId="171" fontId="17" fillId="0" borderId="16" xfId="0" applyNumberFormat="1" applyFont="1" applyFill="1" applyBorder="1" applyAlignment="1">
      <alignment horizontal="center" vertical="center"/>
    </xf>
    <xf numFmtId="17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1" fontId="22" fillId="0" borderId="3" xfId="0" applyNumberFormat="1" applyFont="1" applyBorder="1" applyAlignment="1">
      <alignment horizontal="center" vertical="center"/>
    </xf>
    <xf numFmtId="171" fontId="22" fillId="0" borderId="13" xfId="0" applyNumberFormat="1" applyFont="1" applyBorder="1" applyAlignment="1">
      <alignment horizontal="center" vertical="center"/>
    </xf>
    <xf numFmtId="171" fontId="20" fillId="0" borderId="16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vertical="center" wrapText="1"/>
    </xf>
    <xf numFmtId="0" fontId="38" fillId="0" borderId="45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vertical="center" wrapText="1"/>
    </xf>
    <xf numFmtId="175" fontId="34" fillId="0" borderId="10" xfId="0" applyNumberFormat="1" applyFont="1" applyBorder="1" applyAlignment="1">
      <alignment horizontal="right" vertical="center" wrapText="1"/>
    </xf>
    <xf numFmtId="10" fontId="34" fillId="0" borderId="12" xfId="0" applyNumberFormat="1" applyFont="1" applyFill="1" applyBorder="1" applyAlignment="1">
      <alignment horizontal="center" vertical="center"/>
    </xf>
    <xf numFmtId="0" fontId="37" fillId="0" borderId="4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vertical="center" wrapText="1"/>
    </xf>
    <xf numFmtId="175" fontId="34" fillId="0" borderId="19" xfId="0" applyNumberFormat="1" applyFont="1" applyBorder="1" applyAlignment="1">
      <alignment horizontal="right" vertical="center"/>
    </xf>
    <xf numFmtId="176" fontId="34" fillId="0" borderId="8" xfId="0" applyNumberFormat="1" applyFont="1" applyBorder="1" applyAlignment="1">
      <alignment horizontal="right" vertical="center" wrapText="1"/>
    </xf>
    <xf numFmtId="0" fontId="37" fillId="0" borderId="8" xfId="0" applyFont="1" applyBorder="1" applyAlignment="1">
      <alignment horizontal="right" vertical="center" wrapText="1"/>
    </xf>
    <xf numFmtId="0" fontId="37" fillId="42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10" fontId="35" fillId="0" borderId="10" xfId="0" applyNumberFormat="1" applyFont="1" applyBorder="1" applyAlignment="1">
      <alignment horizontal="center" vertical="center" wrapText="1"/>
    </xf>
    <xf numFmtId="10" fontId="35" fillId="0" borderId="27" xfId="0" applyNumberFormat="1" applyFont="1" applyFill="1" applyBorder="1" applyAlignment="1">
      <alignment horizontal="center" vertical="center" wrapText="1"/>
    </xf>
    <xf numFmtId="10" fontId="32" fillId="0" borderId="16" xfId="0" applyNumberFormat="1" applyFont="1" applyFill="1" applyBorder="1" applyAlignment="1">
      <alignment horizontal="center" vertical="center" wrapText="1"/>
    </xf>
    <xf numFmtId="10" fontId="32" fillId="0" borderId="17" xfId="0" applyNumberFormat="1" applyFont="1" applyFill="1" applyBorder="1" applyAlignment="1">
      <alignment horizontal="center" vertical="center" wrapText="1"/>
    </xf>
    <xf numFmtId="169" fontId="35" fillId="32" borderId="8" xfId="40" applyNumberFormat="1" applyFont="1" applyFill="1" applyBorder="1" applyAlignment="1">
      <alignment horizontal="right" vertical="center"/>
    </xf>
    <xf numFmtId="170" fontId="35" fillId="32" borderId="8" xfId="40" applyNumberFormat="1" applyFont="1" applyFill="1" applyBorder="1" applyAlignment="1">
      <alignment horizontal="right" vertical="center"/>
    </xf>
    <xf numFmtId="168" fontId="32" fillId="0" borderId="16" xfId="0" applyNumberFormat="1" applyFont="1" applyFill="1" applyBorder="1" applyAlignment="1">
      <alignment horizontal="right" vertical="center"/>
    </xf>
    <xf numFmtId="10" fontId="35" fillId="0" borderId="14" xfId="0" applyNumberFormat="1" applyFont="1" applyBorder="1" applyAlignment="1">
      <alignment horizontal="center" vertical="center" wrapText="1"/>
    </xf>
    <xf numFmtId="10" fontId="35" fillId="0" borderId="12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0" fontId="34" fillId="0" borderId="10" xfId="0" applyNumberFormat="1" applyFont="1" applyFill="1" applyBorder="1" applyAlignment="1">
      <alignment horizontal="center" vertical="center" wrapText="1"/>
    </xf>
    <xf numFmtId="169" fontId="34" fillId="0" borderId="10" xfId="0" applyNumberFormat="1" applyFont="1" applyFill="1" applyBorder="1" applyAlignment="1">
      <alignment horizontal="center" vertical="center" wrapText="1"/>
    </xf>
    <xf numFmtId="10" fontId="34" fillId="0" borderId="11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/>
    </xf>
    <xf numFmtId="169" fontId="34" fillId="0" borderId="8" xfId="32" applyNumberFormat="1" applyFont="1" applyBorder="1" applyAlignment="1">
      <alignment horizontal="center" vertical="center" wrapText="1"/>
    </xf>
    <xf numFmtId="10" fontId="34" fillId="0" borderId="4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10" fontId="34" fillId="0" borderId="8" xfId="0" applyNumberFormat="1" applyFont="1" applyBorder="1" applyAlignment="1" applyProtection="1">
      <alignment horizontal="center" vertical="center" wrapText="1"/>
      <protection locked="0"/>
    </xf>
    <xf numFmtId="10" fontId="34" fillId="0" borderId="8" xfId="0" applyNumberFormat="1" applyFont="1" applyFill="1" applyBorder="1" applyAlignment="1">
      <alignment horizontal="center" vertical="center" wrapText="1"/>
    </xf>
    <xf numFmtId="10" fontId="34" fillId="32" borderId="8" xfId="0" applyNumberFormat="1" applyFont="1" applyFill="1" applyBorder="1" applyAlignment="1">
      <alignment horizontal="center" vertical="center" wrapText="1"/>
    </xf>
    <xf numFmtId="10" fontId="34" fillId="0" borderId="19" xfId="0" applyNumberFormat="1" applyFont="1" applyFill="1" applyBorder="1" applyAlignment="1">
      <alignment horizontal="center" vertical="center" wrapText="1"/>
    </xf>
    <xf numFmtId="10" fontId="34" fillId="0" borderId="41" xfId="0" applyNumberFormat="1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10" fontId="34" fillId="0" borderId="9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0" fontId="17" fillId="0" borderId="16" xfId="0" applyNumberFormat="1" applyFont="1" applyFill="1" applyBorder="1" applyAlignment="1">
      <alignment horizontal="center" vertical="center" wrapText="1"/>
    </xf>
    <xf numFmtId="179" fontId="32" fillId="0" borderId="16" xfId="0" applyNumberFormat="1" applyFont="1" applyFill="1" applyBorder="1" applyAlignment="1">
      <alignment horizontal="right" vertical="center" wrapText="1"/>
    </xf>
    <xf numFmtId="10" fontId="17" fillId="0" borderId="12" xfId="0" applyNumberFormat="1" applyFont="1" applyFill="1" applyBorder="1" applyAlignment="1">
      <alignment horizontal="center" vertical="center" wrapText="1"/>
    </xf>
    <xf numFmtId="171" fontId="39" fillId="0" borderId="3" xfId="0" applyNumberFormat="1" applyFont="1" applyBorder="1" applyAlignment="1">
      <alignment horizontal="center" vertical="center"/>
    </xf>
    <xf numFmtId="171" fontId="39" fillId="0" borderId="13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 wrapText="1"/>
    </xf>
    <xf numFmtId="169" fontId="35" fillId="32" borderId="10" xfId="0" applyNumberFormat="1" applyFont="1" applyFill="1" applyBorder="1" applyAlignment="1">
      <alignment vertical="center" wrapText="1"/>
    </xf>
    <xf numFmtId="169" fontId="35" fillId="32" borderId="19" xfId="0" applyNumberFormat="1" applyFont="1" applyFill="1" applyBorder="1" applyAlignment="1">
      <alignment vertical="center" wrapText="1"/>
    </xf>
    <xf numFmtId="169" fontId="35" fillId="32" borderId="8" xfId="0" applyNumberFormat="1" applyFont="1" applyFill="1" applyBorder="1" applyAlignment="1">
      <alignment vertical="center" wrapText="1"/>
    </xf>
    <xf numFmtId="0" fontId="37" fillId="0" borderId="6" xfId="0" applyFont="1" applyBorder="1" applyAlignment="1">
      <alignment horizontal="left" vertical="center" wrapText="1"/>
    </xf>
    <xf numFmtId="169" fontId="35" fillId="32" borderId="8" xfId="0" applyNumberFormat="1" applyFont="1" applyFill="1" applyBorder="1" applyAlignment="1">
      <alignment horizontal="right" vertical="center" wrapText="1"/>
    </xf>
    <xf numFmtId="49" fontId="37" fillId="0" borderId="24" xfId="0" applyNumberFormat="1" applyFont="1" applyBorder="1" applyAlignment="1">
      <alignment vertical="center" wrapText="1"/>
    </xf>
    <xf numFmtId="0" fontId="34" fillId="32" borderId="19" xfId="0" applyFont="1" applyFill="1" applyBorder="1" applyAlignment="1">
      <alignment horizontal="center" vertical="center" wrapText="1"/>
    </xf>
    <xf numFmtId="10" fontId="34" fillId="0" borderId="41" xfId="0" applyNumberFormat="1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Border="1" applyAlignment="1">
      <alignment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vertical="center" wrapText="1"/>
    </xf>
    <xf numFmtId="180" fontId="34" fillId="0" borderId="8" xfId="0" applyNumberFormat="1" applyFont="1" applyFill="1" applyBorder="1" applyAlignment="1">
      <alignment horizontal="center" vertical="center" wrapText="1"/>
    </xf>
    <xf numFmtId="180" fontId="34" fillId="0" borderId="9" xfId="0" applyNumberFormat="1" applyFont="1" applyFill="1" applyBorder="1" applyAlignment="1">
      <alignment vertical="center" wrapText="1"/>
    </xf>
    <xf numFmtId="3" fontId="17" fillId="0" borderId="13" xfId="0" applyNumberFormat="1" applyFont="1" applyBorder="1" applyAlignment="1">
      <alignment horizontal="right" vertical="center" wrapText="1"/>
    </xf>
    <xf numFmtId="3" fontId="22" fillId="34" borderId="14" xfId="0" applyNumberFormat="1" applyFont="1" applyFill="1" applyBorder="1" applyAlignment="1">
      <alignment horizontal="center" vertical="center"/>
    </xf>
    <xf numFmtId="0" fontId="20" fillId="30" borderId="0" xfId="0" applyFont="1" applyFill="1" applyAlignment="1">
      <alignment horizontal="center"/>
    </xf>
    <xf numFmtId="3" fontId="22" fillId="37" borderId="8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10" fontId="35" fillId="0" borderId="31" xfId="0" applyNumberFormat="1" applyFont="1" applyBorder="1" applyAlignment="1">
      <alignment horizontal="center" vertical="center" wrapText="1"/>
    </xf>
    <xf numFmtId="169" fontId="35" fillId="0" borderId="10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10" fontId="35" fillId="0" borderId="0" xfId="0" applyNumberFormat="1" applyFont="1" applyAlignment="1">
      <alignment horizontal="center" vertical="center" wrapText="1"/>
    </xf>
    <xf numFmtId="169" fontId="35" fillId="0" borderId="8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5" fillId="0" borderId="19" xfId="0" applyFont="1" applyBorder="1" applyAlignment="1">
      <alignment horizontal="center" vertical="center" wrapText="1"/>
    </xf>
    <xf numFmtId="10" fontId="35" fillId="0" borderId="52" xfId="0" applyNumberFormat="1" applyFont="1" applyBorder="1" applyAlignment="1">
      <alignment horizontal="center" vertical="center" wrapText="1"/>
    </xf>
    <xf numFmtId="169" fontId="35" fillId="0" borderId="19" xfId="0" applyNumberFormat="1" applyFont="1" applyBorder="1" applyAlignment="1">
      <alignment horizontal="center" vertical="center" wrapText="1"/>
    </xf>
    <xf numFmtId="10" fontId="35" fillId="0" borderId="19" xfId="0" applyNumberFormat="1" applyFont="1" applyBorder="1" applyAlignment="1">
      <alignment horizontal="center" vertical="center" wrapText="1"/>
    </xf>
    <xf numFmtId="0" fontId="34" fillId="0" borderId="3" xfId="0" applyFont="1" applyFill="1" applyBorder="1" applyAlignment="1">
      <alignment vertical="center" wrapText="1"/>
    </xf>
    <xf numFmtId="10" fontId="32" fillId="0" borderId="13" xfId="0" applyNumberFormat="1" applyFont="1" applyBorder="1" applyAlignment="1">
      <alignment horizontal="center" vertical="center" wrapText="1"/>
    </xf>
    <xf numFmtId="169" fontId="32" fillId="0" borderId="35" xfId="0" applyNumberFormat="1" applyFont="1" applyBorder="1" applyAlignment="1">
      <alignment horizontal="center" vertical="center" wrapText="1"/>
    </xf>
    <xf numFmtId="10" fontId="32" fillId="0" borderId="36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 horizontal="center" vertical="center"/>
    </xf>
    <xf numFmtId="171" fontId="0" fillId="0" borderId="2" xfId="0" applyNumberFormat="1" applyFont="1" applyBorder="1" applyAlignment="1">
      <alignment horizontal="center" vertical="center"/>
    </xf>
    <xf numFmtId="171" fontId="0" fillId="0" borderId="16" xfId="0" applyNumberFormat="1" applyFont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10" fontId="35" fillId="0" borderId="10" xfId="0" applyNumberFormat="1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169" fontId="35" fillId="0" borderId="9" xfId="0" applyNumberFormat="1" applyFont="1" applyBorder="1" applyAlignment="1">
      <alignment horizontal="center" vertical="center" wrapText="1"/>
    </xf>
    <xf numFmtId="0" fontId="35" fillId="0" borderId="5" xfId="0" applyFont="1" applyFill="1" applyBorder="1" applyAlignment="1">
      <alignment vertical="center" wrapText="1"/>
    </xf>
    <xf numFmtId="1" fontId="34" fillId="0" borderId="10" xfId="0" applyNumberFormat="1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 vertical="center"/>
    </xf>
    <xf numFmtId="169" fontId="35" fillId="32" borderId="10" xfId="0" applyNumberFormat="1" applyFont="1" applyFill="1" applyBorder="1" applyAlignment="1">
      <alignment horizontal="center" vertical="center" wrapText="1"/>
    </xf>
    <xf numFmtId="10" fontId="34" fillId="0" borderId="11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169" fontId="35" fillId="32" borderId="8" xfId="0" applyNumberFormat="1" applyFont="1" applyFill="1" applyBorder="1" applyAlignment="1">
      <alignment horizontal="center" vertical="center" wrapText="1"/>
    </xf>
    <xf numFmtId="10" fontId="34" fillId="0" borderId="4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center" wrapText="1"/>
    </xf>
    <xf numFmtId="1" fontId="35" fillId="0" borderId="9" xfId="0" applyNumberFormat="1" applyFont="1" applyFill="1" applyBorder="1" applyAlignment="1">
      <alignment horizontal="center" vertical="center" wrapText="1"/>
    </xf>
    <xf numFmtId="169" fontId="35" fillId="32" borderId="9" xfId="0" applyNumberFormat="1" applyFont="1" applyFill="1" applyBorder="1" applyAlignment="1">
      <alignment horizontal="center" vertical="center" wrapText="1"/>
    </xf>
    <xf numFmtId="10" fontId="34" fillId="0" borderId="27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wrapText="1"/>
    </xf>
    <xf numFmtId="1" fontId="17" fillId="0" borderId="45" xfId="0" applyNumberFormat="1" applyFont="1" applyFill="1" applyBorder="1" applyAlignment="1">
      <alignment horizontal="center" wrapText="1"/>
    </xf>
    <xf numFmtId="10" fontId="17" fillId="0" borderId="45" xfId="0" applyNumberFormat="1" applyFont="1" applyFill="1" applyBorder="1" applyAlignment="1">
      <alignment horizontal="center" wrapText="1"/>
    </xf>
    <xf numFmtId="3" fontId="32" fillId="0" borderId="16" xfId="0" applyNumberFormat="1" applyFont="1" applyFill="1" applyBorder="1" applyAlignment="1">
      <alignment horizontal="center" vertical="center"/>
    </xf>
    <xf numFmtId="10" fontId="17" fillId="0" borderId="17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ont="1" applyFill="1" applyAlignment="1">
      <alignment horizontal="center"/>
    </xf>
    <xf numFmtId="0" fontId="35" fillId="32" borderId="10" xfId="0" applyFont="1" applyFill="1" applyBorder="1" applyAlignment="1">
      <alignment horizontal="center" vertical="center" wrapText="1"/>
    </xf>
    <xf numFmtId="169" fontId="34" fillId="32" borderId="10" xfId="0" applyNumberFormat="1" applyFont="1" applyFill="1" applyBorder="1" applyAlignment="1">
      <alignment horizontal="center" vertical="center" wrapText="1"/>
    </xf>
    <xf numFmtId="169" fontId="34" fillId="32" borderId="19" xfId="0" applyNumberFormat="1" applyFont="1" applyFill="1" applyBorder="1" applyAlignment="1">
      <alignment horizontal="center" vertical="center" wrapText="1"/>
    </xf>
    <xf numFmtId="10" fontId="34" fillId="0" borderId="4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169" fontId="34" fillId="32" borderId="9" xfId="0" applyNumberFormat="1" applyFont="1" applyFill="1" applyBorder="1" applyAlignment="1">
      <alignment horizontal="center" vertical="center" wrapText="1"/>
    </xf>
    <xf numFmtId="10" fontId="34" fillId="0" borderId="27" xfId="0" applyNumberFormat="1" applyFont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 wrapText="1"/>
    </xf>
    <xf numFmtId="169" fontId="34" fillId="0" borderId="10" xfId="32" applyNumberFormat="1" applyFont="1" applyFill="1" applyBorder="1" applyAlignment="1">
      <alignment horizontal="right" vertical="center" wrapText="1"/>
    </xf>
    <xf numFmtId="0" fontId="34" fillId="0" borderId="6" xfId="0" applyFont="1" applyFill="1" applyBorder="1" applyAlignment="1">
      <alignment horizontal="left" vertical="center" wrapText="1"/>
    </xf>
    <xf numFmtId="169" fontId="34" fillId="0" borderId="8" xfId="0" applyNumberFormat="1" applyFont="1" applyFill="1" applyBorder="1" applyAlignment="1">
      <alignment horizontal="right" vertical="center" wrapText="1"/>
    </xf>
    <xf numFmtId="169" fontId="34" fillId="32" borderId="8" xfId="0" applyNumberFormat="1" applyFont="1" applyFill="1" applyBorder="1" applyAlignment="1">
      <alignment horizontal="right" vertical="center" wrapText="1"/>
    </xf>
    <xf numFmtId="1" fontId="34" fillId="0" borderId="8" xfId="36" applyNumberFormat="1" applyFont="1" applyFill="1" applyBorder="1" applyAlignment="1">
      <alignment horizontal="center" vertical="center" wrapText="1"/>
    </xf>
    <xf numFmtId="169" fontId="34" fillId="0" borderId="8" xfId="32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horizontal="left" vertical="center" wrapText="1"/>
    </xf>
    <xf numFmtId="1" fontId="34" fillId="0" borderId="9" xfId="36" applyNumberFormat="1" applyFont="1" applyFill="1" applyBorder="1" applyAlignment="1">
      <alignment horizontal="center" vertical="center" wrapText="1"/>
    </xf>
    <xf numFmtId="169" fontId="34" fillId="0" borderId="9" xfId="0" applyNumberFormat="1" applyFont="1" applyFill="1" applyBorder="1" applyAlignment="1">
      <alignment horizontal="right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10" fontId="17" fillId="0" borderId="43" xfId="0" applyNumberFormat="1" applyFont="1" applyBorder="1" applyAlignment="1">
      <alignment horizontal="center" vertical="center" wrapText="1"/>
    </xf>
    <xf numFmtId="168" fontId="17" fillId="0" borderId="16" xfId="0" applyNumberFormat="1" applyFont="1" applyFill="1" applyBorder="1" applyAlignment="1">
      <alignment vertical="center" wrapText="1"/>
    </xf>
    <xf numFmtId="10" fontId="34" fillId="0" borderId="53" xfId="0" applyNumberFormat="1" applyFont="1" applyBorder="1" applyAlignment="1">
      <alignment horizontal="center" vertical="center" wrapText="1"/>
    </xf>
    <xf numFmtId="10" fontId="34" fillId="0" borderId="17" xfId="0" applyNumberFormat="1" applyFont="1" applyFill="1" applyBorder="1" applyAlignment="1">
      <alignment horizontal="center" vertical="center"/>
    </xf>
    <xf numFmtId="171" fontId="17" fillId="0" borderId="13" xfId="0" applyNumberFormat="1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10" fontId="34" fillId="0" borderId="21" xfId="0" applyNumberFormat="1" applyFont="1" applyFill="1" applyBorder="1" applyAlignment="1">
      <alignment horizontal="center" vertical="center" wrapText="1"/>
    </xf>
    <xf numFmtId="169" fontId="34" fillId="0" borderId="13" xfId="0" applyNumberFormat="1" applyFont="1" applyBorder="1" applyAlignment="1">
      <alignment horizontal="center" vertical="center" wrapText="1"/>
    </xf>
    <xf numFmtId="177" fontId="34" fillId="0" borderId="13" xfId="0" applyNumberFormat="1" applyFont="1" applyBorder="1" applyAlignment="1">
      <alignment horizontal="center" vertical="center" wrapText="1"/>
    </xf>
    <xf numFmtId="10" fontId="34" fillId="0" borderId="15" xfId="0" applyNumberFormat="1" applyFont="1" applyFill="1" applyBorder="1" applyAlignment="1">
      <alignment horizontal="center" vertical="center"/>
    </xf>
    <xf numFmtId="167" fontId="17" fillId="0" borderId="13" xfId="0" applyNumberFormat="1" applyFont="1" applyFill="1" applyBorder="1" applyAlignment="1">
      <alignment horizontal="center" vertical="center"/>
    </xf>
    <xf numFmtId="10" fontId="31" fillId="0" borderId="8" xfId="0" applyNumberFormat="1" applyFont="1" applyBorder="1" applyAlignment="1">
      <alignment horizontal="center" vertical="center" wrapText="1"/>
    </xf>
    <xf numFmtId="169" fontId="31" fillId="0" borderId="8" xfId="0" applyNumberFormat="1" applyFont="1" applyBorder="1" applyAlignment="1">
      <alignment horizontal="center" vertical="center" wrapText="1"/>
    </xf>
    <xf numFmtId="169" fontId="31" fillId="32" borderId="8" xfId="0" applyNumberFormat="1" applyFont="1" applyFill="1" applyBorder="1" applyAlignment="1">
      <alignment horizontal="center" vertical="center" wrapText="1"/>
    </xf>
    <xf numFmtId="171" fontId="17" fillId="0" borderId="20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justify" vertical="center" wrapText="1"/>
    </xf>
    <xf numFmtId="3" fontId="35" fillId="0" borderId="9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wrapText="1"/>
    </xf>
    <xf numFmtId="0" fontId="17" fillId="0" borderId="43" xfId="0" applyFont="1" applyFill="1" applyBorder="1" applyAlignment="1">
      <alignment horizontal="center" wrapText="1"/>
    </xf>
    <xf numFmtId="10" fontId="17" fillId="0" borderId="43" xfId="0" applyNumberFormat="1" applyFont="1" applyFill="1" applyBorder="1" applyAlignment="1">
      <alignment horizontal="center" wrapText="1"/>
    </xf>
    <xf numFmtId="3" fontId="17" fillId="0" borderId="16" xfId="0" applyNumberFormat="1" applyFont="1" applyFill="1" applyBorder="1" applyAlignment="1">
      <alignment horizontal="center" vertical="center"/>
    </xf>
    <xf numFmtId="10" fontId="35" fillId="42" borderId="10" xfId="0" applyNumberFormat="1" applyFont="1" applyFill="1" applyBorder="1" applyAlignment="1">
      <alignment horizontal="center" vertical="center" wrapText="1"/>
    </xf>
    <xf numFmtId="169" fontId="35" fillId="0" borderId="14" xfId="0" applyNumberFormat="1" applyFont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center" vertical="center" wrapText="1"/>
    </xf>
    <xf numFmtId="10" fontId="35" fillId="42" borderId="8" xfId="0" applyNumberFormat="1" applyFont="1" applyFill="1" applyBorder="1" applyAlignment="1">
      <alignment horizontal="center" vertical="center" wrapText="1"/>
    </xf>
    <xf numFmtId="10" fontId="35" fillId="0" borderId="8" xfId="0" applyNumberFormat="1" applyFont="1" applyFill="1" applyBorder="1" applyAlignment="1">
      <alignment horizontal="center" vertical="center" wrapText="1"/>
    </xf>
    <xf numFmtId="10" fontId="35" fillId="37" borderId="8" xfId="0" applyNumberFormat="1" applyFont="1" applyFill="1" applyBorder="1" applyAlignment="1">
      <alignment horizontal="center" vertical="center" wrapText="1"/>
    </xf>
    <xf numFmtId="10" fontId="35" fillId="43" borderId="8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10" fontId="35" fillId="37" borderId="9" xfId="0" applyNumberFormat="1" applyFont="1" applyFill="1" applyBorder="1" applyAlignment="1">
      <alignment horizontal="center" vertical="center" wrapText="1"/>
    </xf>
    <xf numFmtId="10" fontId="35" fillId="0" borderId="9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0" fontId="32" fillId="0" borderId="13" xfId="0" applyNumberFormat="1" applyFont="1" applyFill="1" applyBorder="1" applyAlignment="1">
      <alignment horizontal="center" vertical="center" wrapText="1"/>
    </xf>
    <xf numFmtId="10" fontId="32" fillId="0" borderId="15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Border="1"/>
    <xf numFmtId="3" fontId="22" fillId="0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70" fontId="20" fillId="0" borderId="2" xfId="0" applyNumberFormat="1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left" wrapText="1"/>
    </xf>
    <xf numFmtId="0" fontId="34" fillId="0" borderId="6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center" vertical="center"/>
    </xf>
    <xf numFmtId="10" fontId="17" fillId="0" borderId="13" xfId="0" applyNumberFormat="1" applyFont="1" applyFill="1" applyBorder="1" applyAlignment="1">
      <alignment horizontal="center" vertical="center"/>
    </xf>
    <xf numFmtId="1" fontId="35" fillId="32" borderId="10" xfId="0" applyNumberFormat="1" applyFont="1" applyFill="1" applyBorder="1" applyAlignment="1">
      <alignment horizontal="center" vertical="center" wrapText="1"/>
    </xf>
    <xf numFmtId="164" fontId="35" fillId="32" borderId="10" xfId="32" applyNumberFormat="1" applyFont="1" applyFill="1" applyBorder="1" applyAlignment="1">
      <alignment horizontal="center" vertical="center" wrapText="1"/>
    </xf>
    <xf numFmtId="164" fontId="35" fillId="0" borderId="10" xfId="32" applyNumberFormat="1" applyFont="1" applyBorder="1" applyAlignment="1">
      <alignment horizontal="center" vertical="center" wrapText="1"/>
    </xf>
    <xf numFmtId="1" fontId="41" fillId="32" borderId="8" xfId="0" applyNumberFormat="1" applyFont="1" applyFill="1" applyBorder="1" applyAlignment="1">
      <alignment horizontal="center" vertical="center" wrapText="1"/>
    </xf>
    <xf numFmtId="164" fontId="35" fillId="32" borderId="8" xfId="32" applyNumberFormat="1" applyFont="1" applyFill="1" applyBorder="1" applyAlignment="1">
      <alignment horizontal="center" vertical="center" wrapText="1"/>
    </xf>
    <xf numFmtId="164" fontId="35" fillId="0" borderId="8" xfId="32" applyNumberFormat="1" applyFont="1" applyBorder="1" applyAlignment="1">
      <alignment horizontal="center" vertical="center" wrapText="1"/>
    </xf>
    <xf numFmtId="1" fontId="35" fillId="32" borderId="8" xfId="41" applyNumberFormat="1" applyFont="1" applyFill="1" applyBorder="1" applyAlignment="1">
      <alignment horizontal="center" vertical="center" wrapText="1"/>
    </xf>
    <xf numFmtId="10" fontId="35" fillId="0" borderId="8" xfId="0" applyNumberFormat="1" applyFont="1" applyBorder="1" applyAlignment="1">
      <alignment horizontal="center" vertical="center"/>
    </xf>
    <xf numFmtId="1" fontId="35" fillId="32" borderId="8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Border="1" applyAlignment="1">
      <alignment horizontal="center" vertical="center"/>
    </xf>
    <xf numFmtId="164" fontId="35" fillId="0" borderId="8" xfId="32" applyNumberFormat="1" applyFont="1" applyBorder="1" applyAlignment="1">
      <alignment horizontal="center" vertical="center"/>
    </xf>
    <xf numFmtId="1" fontId="35" fillId="0" borderId="8" xfId="0" applyNumberFormat="1" applyFont="1" applyBorder="1" applyAlignment="1">
      <alignment horizontal="center" vertical="center" wrapText="1"/>
    </xf>
    <xf numFmtId="164" fontId="35" fillId="0" borderId="8" xfId="32" applyNumberFormat="1" applyFont="1" applyFill="1" applyBorder="1" applyAlignment="1">
      <alignment horizontal="center" vertical="center" wrapText="1"/>
    </xf>
    <xf numFmtId="1" fontId="35" fillId="0" borderId="8" xfId="36" applyNumberFormat="1" applyFont="1" applyFill="1" applyBorder="1" applyAlignment="1">
      <alignment horizontal="center" vertical="center" wrapText="1"/>
    </xf>
    <xf numFmtId="1" fontId="35" fillId="32" borderId="8" xfId="0" applyNumberFormat="1" applyFont="1" applyFill="1" applyBorder="1" applyAlignment="1">
      <alignment horizontal="center" vertical="center"/>
    </xf>
    <xf numFmtId="1" fontId="35" fillId="32" borderId="8" xfId="42" applyNumberFormat="1" applyFont="1" applyFill="1" applyBorder="1" applyAlignment="1">
      <alignment horizontal="center" vertical="center" wrapText="1"/>
    </xf>
    <xf numFmtId="1" fontId="35" fillId="32" borderId="8" xfId="41" applyNumberFormat="1" applyFont="1" applyFill="1" applyBorder="1" applyAlignment="1">
      <alignment horizontal="center" vertical="center"/>
    </xf>
    <xf numFmtId="1" fontId="35" fillId="32" borderId="9" xfId="0" applyNumberFormat="1" applyFont="1" applyFill="1" applyBorder="1" applyAlignment="1">
      <alignment horizontal="center" vertical="center" wrapText="1"/>
    </xf>
    <xf numFmtId="10" fontId="35" fillId="0" borderId="9" xfId="0" applyNumberFormat="1" applyFont="1" applyBorder="1" applyAlignment="1">
      <alignment horizontal="center" vertical="center"/>
    </xf>
    <xf numFmtId="164" fontId="35" fillId="32" borderId="9" xfId="32" applyNumberFormat="1" applyFont="1" applyFill="1" applyBorder="1" applyAlignment="1">
      <alignment horizontal="center" vertical="center" wrapText="1"/>
    </xf>
    <xf numFmtId="164" fontId="35" fillId="0" borderId="9" xfId="32" applyNumberFormat="1" applyFont="1" applyBorder="1" applyAlignment="1">
      <alignment horizontal="center" vertical="center" wrapText="1"/>
    </xf>
    <xf numFmtId="1" fontId="17" fillId="0" borderId="43" xfId="0" applyNumberFormat="1" applyFont="1" applyFill="1" applyBorder="1" applyAlignment="1">
      <alignment horizontal="center" wrapText="1"/>
    </xf>
    <xf numFmtId="171" fontId="17" fillId="0" borderId="16" xfId="0" applyNumberFormat="1" applyFont="1" applyBorder="1" applyAlignment="1">
      <alignment wrapText="1"/>
    </xf>
    <xf numFmtId="10" fontId="17" fillId="0" borderId="17" xfId="0" applyNumberFormat="1" applyFont="1" applyBorder="1" applyAlignment="1">
      <alignment horizontal="center"/>
    </xf>
    <xf numFmtId="3" fontId="42" fillId="0" borderId="3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/>
    </xf>
    <xf numFmtId="3" fontId="43" fillId="0" borderId="23" xfId="0" applyNumberFormat="1" applyFont="1" applyBorder="1" applyAlignment="1">
      <alignment horizontal="right"/>
    </xf>
    <xf numFmtId="3" fontId="42" fillId="31" borderId="14" xfId="0" applyNumberFormat="1" applyFont="1" applyFill="1" applyBorder="1" applyAlignment="1">
      <alignment horizontal="center" vertical="center" wrapText="1"/>
    </xf>
    <xf numFmtId="10" fontId="44" fillId="0" borderId="12" xfId="0" applyNumberFormat="1" applyFont="1" applyFill="1" applyBorder="1" applyAlignment="1">
      <alignment horizontal="center" vertical="center"/>
    </xf>
    <xf numFmtId="3" fontId="43" fillId="0" borderId="6" xfId="0" applyNumberFormat="1" applyFont="1" applyBorder="1" applyAlignment="1">
      <alignment horizontal="right"/>
    </xf>
    <xf numFmtId="3" fontId="42" fillId="30" borderId="8" xfId="0" applyNumberFormat="1" applyFont="1" applyFill="1" applyBorder="1" applyAlignment="1">
      <alignment horizontal="center" vertical="center" wrapText="1"/>
    </xf>
    <xf numFmtId="3" fontId="43" fillId="0" borderId="24" xfId="0" applyNumberFormat="1" applyFont="1" applyBorder="1" applyAlignment="1">
      <alignment horizontal="right"/>
    </xf>
    <xf numFmtId="3" fontId="42" fillId="37" borderId="19" xfId="0" applyNumberFormat="1" applyFont="1" applyFill="1" applyBorder="1" applyAlignment="1">
      <alignment horizontal="center" vertical="center" wrapText="1"/>
    </xf>
    <xf numFmtId="3" fontId="42" fillId="0" borderId="3" xfId="0" applyNumberFormat="1" applyFont="1" applyBorder="1" applyAlignment="1">
      <alignment wrapText="1"/>
    </xf>
    <xf numFmtId="3" fontId="42" fillId="0" borderId="15" xfId="0" applyNumberFormat="1" applyFont="1" applyFill="1" applyBorder="1" applyAlignment="1">
      <alignment horizontal="center" vertical="center" wrapText="1"/>
    </xf>
    <xf numFmtId="10" fontId="44" fillId="0" borderId="0" xfId="0" applyNumberFormat="1" applyFont="1" applyFill="1" applyBorder="1" applyAlignment="1">
      <alignment horizontal="center" vertical="center"/>
    </xf>
    <xf numFmtId="171" fontId="43" fillId="0" borderId="0" xfId="0" applyNumberFormat="1" applyFont="1" applyAlignment="1">
      <alignment wrapText="1"/>
    </xf>
    <xf numFmtId="0" fontId="43" fillId="0" borderId="0" xfId="0" applyFont="1"/>
    <xf numFmtId="0" fontId="42" fillId="0" borderId="15" xfId="0" applyFont="1" applyBorder="1" applyAlignment="1">
      <alignment horizontal="center" vertical="center"/>
    </xf>
    <xf numFmtId="170" fontId="43" fillId="0" borderId="2" xfId="0" applyNumberFormat="1" applyFont="1" applyBorder="1" applyAlignment="1">
      <alignment horizontal="center" vertical="center" wrapText="1"/>
    </xf>
    <xf numFmtId="170" fontId="43" fillId="0" borderId="16" xfId="0" applyNumberFormat="1" applyFont="1" applyBorder="1" applyAlignment="1">
      <alignment horizontal="center" vertical="center" wrapText="1"/>
    </xf>
    <xf numFmtId="10" fontId="43" fillId="0" borderId="17" xfId="0" applyNumberFormat="1" applyFont="1" applyBorder="1" applyAlignment="1">
      <alignment horizontal="center" vertical="center"/>
    </xf>
    <xf numFmtId="169" fontId="35" fillId="0" borderId="10" xfId="0" applyNumberFormat="1" applyFont="1" applyBorder="1" applyAlignment="1">
      <alignment horizontal="right" vertical="center" wrapText="1"/>
    </xf>
    <xf numFmtId="169" fontId="35" fillId="0" borderId="9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31" borderId="8" xfId="0" applyNumberFormat="1" applyFont="1" applyFill="1" applyBorder="1" applyAlignment="1">
      <alignment horizontal="center" vertical="center"/>
    </xf>
    <xf numFmtId="10" fontId="5" fillId="0" borderId="49" xfId="0" applyNumberFormat="1" applyFont="1" applyFill="1" applyBorder="1" applyAlignment="1">
      <alignment horizontal="center" vertical="center"/>
    </xf>
    <xf numFmtId="3" fontId="22" fillId="0" borderId="25" xfId="0" applyNumberFormat="1" applyFont="1" applyBorder="1"/>
    <xf numFmtId="3" fontId="22" fillId="0" borderId="51" xfId="0" applyNumberFormat="1" applyFont="1" applyFill="1" applyBorder="1" applyAlignment="1">
      <alignment horizontal="center" vertical="center"/>
    </xf>
    <xf numFmtId="10" fontId="5" fillId="0" borderId="5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/>
    <xf numFmtId="0" fontId="34" fillId="0" borderId="3" xfId="0" applyFont="1" applyFill="1" applyBorder="1" applyAlignment="1">
      <alignment horizontal="left" vertical="center" wrapText="1"/>
    </xf>
    <xf numFmtId="0" fontId="34" fillId="0" borderId="35" xfId="0" applyFont="1" applyBorder="1" applyAlignment="1">
      <alignment horizontal="center" vertical="center" wrapText="1"/>
    </xf>
    <xf numFmtId="10" fontId="34" fillId="0" borderId="13" xfId="0" applyNumberFormat="1" applyFont="1" applyBorder="1" applyAlignment="1">
      <alignment horizontal="center" vertical="center" wrapText="1"/>
    </xf>
    <xf numFmtId="169" fontId="34" fillId="0" borderId="13" xfId="0" applyNumberFormat="1" applyFont="1" applyBorder="1" applyAlignment="1">
      <alignment horizontal="center" vertical="center"/>
    </xf>
    <xf numFmtId="10" fontId="35" fillId="37" borderId="25" xfId="0" applyNumberFormat="1" applyFont="1" applyFill="1" applyBorder="1" applyAlignment="1">
      <alignment horizontal="center" vertical="center"/>
    </xf>
    <xf numFmtId="10" fontId="17" fillId="37" borderId="43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/>
    </xf>
    <xf numFmtId="10" fontId="32" fillId="37" borderId="15" xfId="0" applyNumberFormat="1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 wrapText="1"/>
    </xf>
    <xf numFmtId="10" fontId="34" fillId="0" borderId="55" xfId="0" applyNumberFormat="1" applyFont="1" applyFill="1" applyBorder="1" applyAlignment="1">
      <alignment vertical="center"/>
    </xf>
    <xf numFmtId="10" fontId="17" fillId="0" borderId="20" xfId="0" applyNumberFormat="1" applyFont="1" applyFill="1" applyBorder="1"/>
    <xf numFmtId="3" fontId="22" fillId="0" borderId="20" xfId="0" applyNumberFormat="1" applyFont="1" applyBorder="1" applyAlignment="1">
      <alignment horizontal="center" vertical="center"/>
    </xf>
    <xf numFmtId="10" fontId="5" fillId="0" borderId="56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0" fontId="20" fillId="0" borderId="57" xfId="0" applyNumberFormat="1" applyFont="1" applyBorder="1" applyAlignment="1">
      <alignment horizontal="center" vertical="center"/>
    </xf>
    <xf numFmtId="10" fontId="35" fillId="44" borderId="8" xfId="0" applyNumberFormat="1" applyFont="1" applyFill="1" applyBorder="1" applyAlignment="1">
      <alignment horizontal="center" vertical="center" wrapText="1"/>
    </xf>
    <xf numFmtId="10" fontId="35" fillId="33" borderId="8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169" fontId="35" fillId="0" borderId="14" xfId="40" applyNumberFormat="1" applyFont="1" applyFill="1" applyBorder="1" applyAlignment="1">
      <alignment horizontal="right" vertical="center"/>
    </xf>
    <xf numFmtId="170" fontId="35" fillId="0" borderId="14" xfId="40" applyNumberFormat="1" applyFont="1" applyFill="1" applyBorder="1" applyAlignment="1">
      <alignment horizontal="right" vertical="center"/>
    </xf>
    <xf numFmtId="169" fontId="35" fillId="0" borderId="8" xfId="40" applyNumberFormat="1" applyFont="1" applyFill="1" applyBorder="1" applyAlignment="1">
      <alignment horizontal="right" vertical="center"/>
    </xf>
    <xf numFmtId="170" fontId="35" fillId="0" borderId="8" xfId="4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4" fontId="29" fillId="0" borderId="6" xfId="0" applyNumberFormat="1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181" fontId="35" fillId="32" borderId="10" xfId="43" applyNumberFormat="1" applyFont="1" applyFill="1" applyBorder="1" applyAlignment="1">
      <alignment horizontal="right" vertical="center" wrapText="1"/>
    </xf>
    <xf numFmtId="169" fontId="35" fillId="32" borderId="10" xfId="0" applyNumberFormat="1" applyFont="1" applyFill="1" applyBorder="1" applyAlignment="1">
      <alignment horizontal="right" vertical="center" wrapText="1"/>
    </xf>
    <xf numFmtId="181" fontId="35" fillId="32" borderId="8" xfId="43" applyNumberFormat="1" applyFont="1" applyFill="1" applyBorder="1" applyAlignment="1">
      <alignment horizontal="right" vertical="center" wrapText="1"/>
    </xf>
    <xf numFmtId="181" fontId="35" fillId="32" borderId="9" xfId="43" applyNumberFormat="1" applyFont="1" applyFill="1" applyBorder="1" applyAlignment="1">
      <alignment horizontal="right" vertical="center" wrapText="1"/>
    </xf>
    <xf numFmtId="169" fontId="35" fillId="32" borderId="9" xfId="0" applyNumberFormat="1" applyFont="1" applyFill="1" applyBorder="1" applyAlignment="1">
      <alignment horizontal="right" vertical="center" wrapText="1"/>
    </xf>
    <xf numFmtId="10" fontId="35" fillId="0" borderId="28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168" fontId="17" fillId="0" borderId="16" xfId="0" applyNumberFormat="1" applyFont="1" applyFill="1" applyBorder="1" applyAlignment="1">
      <alignment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0" fontId="35" fillId="0" borderId="33" xfId="0" applyNumberFormat="1" applyFont="1" applyBorder="1" applyAlignment="1">
      <alignment horizontal="center" vertical="center" wrapText="1"/>
    </xf>
    <xf numFmtId="10" fontId="35" fillId="0" borderId="14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42" fillId="0" borderId="29" xfId="0" applyNumberFormat="1" applyFont="1" applyBorder="1" applyAlignment="1">
      <alignment horizontal="center"/>
    </xf>
    <xf numFmtId="3" fontId="42" fillId="0" borderId="35" xfId="0" applyNumberFormat="1" applyFont="1" applyBorder="1" applyAlignment="1">
      <alignment horizontal="center"/>
    </xf>
    <xf numFmtId="3" fontId="42" fillId="0" borderId="36" xfId="0" applyNumberFormat="1" applyFont="1" applyBorder="1" applyAlignment="1">
      <alignment horizontal="center"/>
    </xf>
    <xf numFmtId="3" fontId="42" fillId="0" borderId="3" xfId="0" applyNumberFormat="1" applyFont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Incorrecto" xfId="28" builtinId="27" customBuiltin="1"/>
    <cellStyle name="Millares" xfId="40" builtinId="3"/>
    <cellStyle name="Millares [0] 3" xfId="42"/>
    <cellStyle name="Millares 2" xfId="29"/>
    <cellStyle name="Millares 3" xfId="30"/>
    <cellStyle name="Millares 7" xfId="31"/>
    <cellStyle name="Moneda" xfId="32" builtinId="4"/>
    <cellStyle name="Moneda 2" xfId="43"/>
    <cellStyle name="Neutral" xfId="33" builtinId="28" customBuiltin="1"/>
    <cellStyle name="Normal" xfId="0" builtinId="0"/>
    <cellStyle name="Normal 3" xfId="34"/>
    <cellStyle name="Normal 7" xfId="35"/>
    <cellStyle name="Porcentaje" xfId="41" builtinId="5"/>
    <cellStyle name="Porcentaje 2 2" xfId="36"/>
    <cellStyle name="Salida" xfId="37" builtinId="21" customBuiltin="1"/>
    <cellStyle name="Título" xfId="38" builtinId="15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9BBF57"/>
      <color rgb="FFE06B0A"/>
      <color rgb="FFC96009"/>
      <color rgb="FFFFFF99"/>
      <color rgb="FFC0D79B"/>
      <color rgb="FF9B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41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POR DEPENDENCIAS/ENTIDADES</a:t>
            </a:r>
          </a:p>
        </c:rich>
      </c:tx>
      <c:layout>
        <c:manualLayout>
          <c:xMode val="edge"/>
          <c:yMode val="edge"/>
          <c:x val="0.22415001180679944"/>
          <c:y val="4.9772798414920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GENERAL'!$E$31:$G$31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31-429D-8968-E40EA62812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31-429D-8968-E40EA62812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31-429D-8968-E40EA6281257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31-429D-8968-E40EA628125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31-429D-8968-E40EA628125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31-429D-8968-E40EA628125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GENERAL'!$E$33:$E$35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 CONSOLIDADO GENERAL'!$G$33:$G$35</c:f>
              <c:numCache>
                <c:formatCode>0.00%</c:formatCode>
                <c:ptCount val="3"/>
                <c:pt idx="0">
                  <c:v>0.34782608695652173</c:v>
                </c:pt>
                <c:pt idx="1">
                  <c:v>0.52173913043478259</c:v>
                </c:pt>
                <c:pt idx="2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31-429D-8968-E40EA628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37143457343667"/>
          <c:y val="0.84077285230578369"/>
          <c:w val="0.67037481906055729"/>
          <c:h val="0.1129334631300501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5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E4-48DA-BBCC-D45C93786AF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E4-48DA-BBCC-D45C93786AF8}"/>
              </c:ext>
            </c:extLst>
          </c:dPt>
          <c:dLbls>
            <c:dLbl>
              <c:idx val="0"/>
              <c:layout>
                <c:manualLayout>
                  <c:x val="6.5141628628314838E-3"/>
                  <c:y val="-0.26193179372951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635378498479769"/>
                      <c:h val="9.732004429678846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6112315168524726E-2"/>
                  <c:y val="-0.163302029106826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3301639770276236"/>
                      <c:h val="0.10617940199335549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 GOBIERNO Y CONVIVENCIA'!$E$29:$F$29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'2.1 GOBIERNO Y CONVIVENCIA'!$E$30:$F$30</c:f>
              <c:numCache>
                <c:formatCode>[$$-240A]\ #,##0.00</c:formatCode>
                <c:ptCount val="2"/>
                <c:pt idx="0">
                  <c:v>17940726885</c:v>
                </c:pt>
                <c:pt idx="1">
                  <c:v>6528752569.6699991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E4-48DA-BBCC-D45C9378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16624"/>
        <c:axId val="235181312"/>
        <c:axId val="0"/>
      </c:bar3DChart>
      <c:catAx>
        <c:axId val="2346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5181312"/>
        <c:crosses val="autoZero"/>
        <c:auto val="1"/>
        <c:lblAlgn val="ctr"/>
        <c:lblOffset val="100"/>
        <c:noMultiLvlLbl val="0"/>
      </c:catAx>
      <c:valAx>
        <c:axId val="235181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461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5F-41B0-9AAA-EF40EB20D7F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5F-41B0-9AAA-EF40EB20D7F7}"/>
              </c:ext>
            </c:extLst>
          </c:dPt>
          <c:dLbls>
            <c:dLbl>
              <c:idx val="0"/>
              <c:layout>
                <c:manualLayout>
                  <c:x val="8.5277443260769192E-3"/>
                  <c:y val="-0.36974533280953759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3962352941176471"/>
                      <c:h val="8.459869848156181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2959240389069017E-2"/>
                  <c:y val="-0.1471371718448426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0668235294117643"/>
                      <c:h val="7.375271149674619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 DESARROLLO SOCIAL'!$E$33:$F$33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'2.2 DESARROLLO SOCIAL'!$E$34:$F$34</c:f>
              <c:numCache>
                <c:formatCode>[$$-240A]\ #,##0.00</c:formatCode>
                <c:ptCount val="2"/>
                <c:pt idx="0">
                  <c:v>12414296357.459999</c:v>
                </c:pt>
                <c:pt idx="1">
                  <c:v>4418035893.6599998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5F-41B0-9AAA-EF40EB20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017952"/>
        <c:axId val="303018344"/>
        <c:axId val="0"/>
      </c:bar3DChart>
      <c:catAx>
        <c:axId val="3030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3018344"/>
        <c:crosses val="autoZero"/>
        <c:auto val="1"/>
        <c:lblAlgn val="ctr"/>
        <c:lblOffset val="100"/>
        <c:noMultiLvlLbl val="0"/>
      </c:catAx>
      <c:valAx>
        <c:axId val="303018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01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SECRETARÍA DE DESARROLLO SOCIAL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3751312335958005"/>
          <c:w val="0.85555555555555551"/>
          <c:h val="0.587874015748031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A2-45AE-BE70-4C7B3AEBE66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A2-45AE-BE70-4C7B3AEBE66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A2-45AE-BE70-4C7B3AEBE66C}"/>
              </c:ext>
            </c:extLst>
          </c:dPt>
          <c:dLbls>
            <c:dLbl>
              <c:idx val="1"/>
              <c:layout>
                <c:manualLayout>
                  <c:x val="-6.7925415573053372E-2"/>
                  <c:y val="-2.495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A2-45AE-BE70-4C7B3AEBE66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416185476815397"/>
                  <c:y val="7.45115193934091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A2-45AE-BE70-4C7B3AEBE66C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 DESARROLLO SOCIAL'!$E$27:$E$29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'2.2 DESARROLLO SOCIAL'!$G$27:$G$29</c:f>
              <c:numCache>
                <c:formatCode>0.00%</c:formatCode>
                <c:ptCount val="3"/>
                <c:pt idx="0">
                  <c:v>0.34798534798534797</c:v>
                </c:pt>
                <c:pt idx="1">
                  <c:v>0.18315018315018314</c:v>
                </c:pt>
                <c:pt idx="2">
                  <c:v>0.46886446886446886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2-45AE-BE70-4C7B3AEB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77967526786421"/>
          <c:y val="0.87804878048780488"/>
          <c:w val="0.58008771630818878"/>
          <c:h val="9.75609756097560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1.3385826771653544" l="0.31496062992125984" r="0.31496062992125984" t="0.74803149606299213" header="0.31496062992125984" footer="0.31496062992125984"/>
    <c:pageSetup paperSize="5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SECRETARIA DE SALUD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652909011373578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2C-4245-9EDF-36A1D8C348B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2C-4245-9EDF-36A1D8C348B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2C-4245-9EDF-36A1D8C348B1}"/>
              </c:ext>
            </c:extLst>
          </c:dPt>
          <c:dLbls>
            <c:dLbl>
              <c:idx val="1"/>
              <c:layout>
                <c:manualLayout>
                  <c:x val="-0.14870800524934383"/>
                  <c:y val="-1.616396908719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2C-4245-9EDF-36A1D8C348B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6225021872265969"/>
                  <c:y val="-4.34747739865850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2C-4245-9EDF-36A1D8C348B1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 SALUD'!$E$32:$E$34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'2.3 SALUD'!$G$32:$G$34</c:f>
              <c:numCache>
                <c:formatCode>0.00%</c:formatCode>
                <c:ptCount val="3"/>
                <c:pt idx="0">
                  <c:v>0.42056074766355139</c:v>
                </c:pt>
                <c:pt idx="1">
                  <c:v>0.21495327102803738</c:v>
                </c:pt>
                <c:pt idx="2">
                  <c:v>0.3644859813084112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22C-4245-9EDF-36A1D8C348B1}"/>
            </c:ext>
          </c:extLst>
        </c:ser>
        <c:ser>
          <c:idx val="1"/>
          <c:order val="1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22C-4245-9EDF-36A1D8C348B1}"/>
              </c:ext>
            </c:extLst>
          </c:dPt>
          <c:cat>
            <c:strRef>
              <c:f>'2.3 SALUD'!$E$32:$E$34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'2.3 SALUD'!$F$32</c:f>
              <c:numCache>
                <c:formatCode>#,##0</c:formatCode>
                <c:ptCount val="1"/>
                <c:pt idx="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2C-4245-9EDF-36A1D8C34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5222695084339841E-2"/>
          <c:y val="0.83677426083328987"/>
          <c:w val="0.745548052903522"/>
          <c:h val="0.163225739166710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40-4DF8-A565-67A1F727508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40-4DF8-A565-67A1F7275089}"/>
              </c:ext>
            </c:extLst>
          </c:dPt>
          <c:dLbls>
            <c:dLbl>
              <c:idx val="0"/>
              <c:layout>
                <c:manualLayout>
                  <c:x val="7.2542417174377649E-2"/>
                  <c:y val="-0.3891273293880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4254364943512496"/>
                      <c:h val="7.571829973535464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195535054685587E-2"/>
                  <c:y val="-0.20262734015094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0609830807762303"/>
                      <c:h val="8.1701244813277993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 SALUD'!$E$38:$F$38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'2.3 SALUD'!$E$39:$F$39</c:f>
              <c:numCache>
                <c:formatCode>[$$-240A]\ #,##0.00</c:formatCode>
                <c:ptCount val="2"/>
                <c:pt idx="0">
                  <c:v>153737242933</c:v>
                </c:pt>
                <c:pt idx="1">
                  <c:v>103251517290.46001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40-4DF8-A565-67A1F7275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020304"/>
        <c:axId val="303020696"/>
        <c:axId val="0"/>
      </c:bar3DChart>
      <c:catAx>
        <c:axId val="30302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020696"/>
        <c:crosses val="autoZero"/>
        <c:auto val="1"/>
        <c:lblAlgn val="ctr"/>
        <c:lblOffset val="100"/>
        <c:noMultiLvlLbl val="0"/>
      </c:catAx>
      <c:valAx>
        <c:axId val="303020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02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9A-4556-ADB4-A7934260D1A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9A-4556-ADB4-A7934260D1A8}"/>
              </c:ext>
            </c:extLst>
          </c:dPt>
          <c:dLbls>
            <c:dLbl>
              <c:idx val="0"/>
              <c:layout>
                <c:manualLayout>
                  <c:x val="2.8815574489296648E-2"/>
                  <c:y val="-5.978591738001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9A-4556-ADB4-A7934260D1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752868523321952E-2"/>
                  <c:y val="-7.075370993306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9A-4556-ADB4-A7934260D1A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'2.4 DESARROLLO ECONOMICO'!$E$19:$F$19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'2.4 DESARROLLO ECONOMICO'!$E$20:$F$20</c:f>
              <c:numCache>
                <c:formatCode>[$$-240A]\ #,##0.00</c:formatCode>
                <c:ptCount val="2"/>
                <c:pt idx="0">
                  <c:v>4330769960</c:v>
                </c:pt>
                <c:pt idx="1">
                  <c:v>2719153910.7200003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9A-4556-ADB4-A7934260D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278552"/>
        <c:axId val="303278944"/>
        <c:axId val="0"/>
      </c:bar3DChart>
      <c:catAx>
        <c:axId val="30327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3278944"/>
        <c:crosses val="autoZero"/>
        <c:auto val="1"/>
        <c:lblAlgn val="ctr"/>
        <c:lblOffset val="100"/>
        <c:noMultiLvlLbl val="0"/>
      </c:catAx>
      <c:valAx>
        <c:axId val="303278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27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DESARROLLO ECONÓMICO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983543177555746E-2"/>
          <c:y val="0.2108412387018175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97-445D-A4D4-5D414642086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97-445D-A4D4-5D414642086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97-445D-A4D4-5D4146420867}"/>
              </c:ext>
            </c:extLst>
          </c:dPt>
          <c:dLbls>
            <c:dLbl>
              <c:idx val="1"/>
              <c:layout>
                <c:manualLayout>
                  <c:x val="-7.0118547681539814E-2"/>
                  <c:y val="-5.7502551764362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97-445D-A4D4-5D41464208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88762006843386"/>
                  <c:y val="2.19810596494137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97-445D-A4D4-5D414642086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 DESARROLLO ECONOMICO'!$E$13:$E$15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'2.4 DESARROLLO ECONOMICO'!$G$13:$G$15</c:f>
              <c:numCache>
                <c:formatCode>0.00%</c:formatCode>
                <c:ptCount val="3"/>
                <c:pt idx="0">
                  <c:v>0.3902439024390244</c:v>
                </c:pt>
                <c:pt idx="1">
                  <c:v>0.51219512195121952</c:v>
                </c:pt>
                <c:pt idx="2">
                  <c:v>9.7560975609756101E-2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97-445D-A4D4-5D4146420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87234042553192"/>
          <c:y val="0.87931034482758619"/>
          <c:w val="0.58085106382978724"/>
          <c:h val="8.96551724137930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EDUCACIÓN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3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48935957292353E-2"/>
          <c:y val="0.22115899340042247"/>
          <c:w val="0.83583924838810164"/>
          <c:h val="0.625228951546242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2-4C28-A4A7-D03D9D00E57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2-4C28-A4A7-D03D9D00E57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2-4C28-A4A7-D03D9D00E572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92-4C28-A4A7-D03D9D00E5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2550679472067035E-2"/>
                  <c:y val="-1.93683823818833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92-4C28-A4A7-D03D9D00E5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519327979171547"/>
                  <c:y val="-4.88762349607043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92-4C28-A4A7-D03D9D00E57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 EDUCACION'!$E$47:$E$49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'2.5 EDUCACION'!$G$47:$G$49</c:f>
              <c:numCache>
                <c:formatCode>0.00%</c:formatCode>
                <c:ptCount val="3"/>
                <c:pt idx="0">
                  <c:v>0.75609756097560976</c:v>
                </c:pt>
                <c:pt idx="1">
                  <c:v>0.12195121951219512</c:v>
                </c:pt>
                <c:pt idx="2">
                  <c:v>0.12195121951219512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92-4C28-A4A7-D03D9D00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66728113835268"/>
          <c:y val="0.89583583302087244"/>
          <c:w val="0.55625102046190711"/>
          <c:h val="8.333364579427571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B3-4F6B-B2A4-DF539CE813B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B3-4F6B-B2A4-DF539CE813B5}"/>
              </c:ext>
            </c:extLst>
          </c:dPt>
          <c:dLbls>
            <c:dLbl>
              <c:idx val="0"/>
              <c:layout>
                <c:manualLayout>
                  <c:x val="7.1409094930549408E-2"/>
                  <c:y val="-0.38645330102967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B3-4F6B-B2A4-DF539CE813B5}"/>
                </c:ext>
                <c:ext xmlns:c15="http://schemas.microsoft.com/office/drawing/2012/chart" uri="{CE6537A1-D6FC-4f65-9D91-7224C49458BB}">
                  <c15:layout>
                    <c:manualLayout>
                      <c:w val="0.21588764044943817"/>
                      <c:h val="8.898461538461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5272582500221179E-2"/>
                  <c:y val="-0.17855683424187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B3-4F6B-B2A4-DF539CE813B5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 EDUCACION'!$E$53:$F$53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'2.5 EDUCACION'!$E$54:$F$54</c:f>
              <c:numCache>
                <c:formatCode>[$$-240A]\ #,##0.00</c:formatCode>
                <c:ptCount val="2"/>
                <c:pt idx="0">
                  <c:v>150983618863.19</c:v>
                </c:pt>
                <c:pt idx="1">
                  <c:v>109422855224.19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B3-4F6B-B2A4-DF539CE81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280512"/>
        <c:axId val="303280904"/>
        <c:axId val="0"/>
      </c:bar3DChart>
      <c:catAx>
        <c:axId val="3032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280904"/>
        <c:crosses val="autoZero"/>
        <c:auto val="1"/>
        <c:lblAlgn val="ctr"/>
        <c:lblOffset val="100"/>
        <c:noMultiLvlLbl val="0"/>
      </c:catAx>
      <c:valAx>
        <c:axId val="303280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28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INFRAESTRUCTURA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22222222222227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05-460E-B253-D06EDC8D3A6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05-460E-B253-D06EDC8D3A6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05-460E-B253-D06EDC8D3A6E}"/>
              </c:ext>
            </c:extLst>
          </c:dPt>
          <c:dLbls>
            <c:dLbl>
              <c:idx val="0"/>
              <c:layout>
                <c:manualLayout>
                  <c:x val="-0.12040229687446274"/>
                  <c:y val="-0.1024343109259756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05-460E-B253-D06EDC8D3A6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763998250218722"/>
                  <c:y val="-2.50951443569553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05-460E-B253-D06EDC8D3A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840179352580928"/>
                  <c:y val="-2.27803295421405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05-460E-B253-D06EDC8D3A6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 INFRAESTRUCTURA'!$E$27:$E$29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'2.6 INFRAESTRUCTURA'!$G$27:$G$29</c:f>
              <c:numCache>
                <c:formatCode>0.00%</c:formatCode>
                <c:ptCount val="3"/>
                <c:pt idx="0">
                  <c:v>0.17647058823529413</c:v>
                </c:pt>
                <c:pt idx="1">
                  <c:v>0.22352941176470589</c:v>
                </c:pt>
                <c:pt idx="2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05-460E-B253-D06EDC8D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13973799126638"/>
          <c:y val="0.87043328886214799"/>
          <c:w val="0.62008733624454149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D2-4F2A-A505-EB67CA41459E}"/>
              </c:ext>
            </c:extLst>
          </c:dPt>
          <c:dLbls>
            <c:dLbl>
              <c:idx val="0"/>
              <c:layout>
                <c:manualLayout>
                  <c:x val="0.140547480234851"/>
                  <c:y val="-0.35608054999584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D2-4F2A-A505-EB67CA4145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689616573188212E-2"/>
                  <c:y val="-0.22823774691177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D2-4F2A-A505-EB67CA41459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GENERAL'!$E$48:$F$48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GENERAL'!$E$49:$F$49</c:f>
              <c:numCache>
                <c:formatCode>[$$-240A]\ #,##0.00</c:formatCode>
                <c:ptCount val="2"/>
                <c:pt idx="0">
                  <c:v>530010498531.84998</c:v>
                </c:pt>
                <c:pt idx="1">
                  <c:v>314253501253.44006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D2-4F2A-A505-EB67CA414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28392"/>
        <c:axId val="235179744"/>
        <c:axId val="0"/>
      </c:bar3DChart>
      <c:catAx>
        <c:axId val="14062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35179744"/>
        <c:crosses val="autoZero"/>
        <c:auto val="1"/>
        <c:lblAlgn val="ctr"/>
        <c:lblOffset val="100"/>
        <c:noMultiLvlLbl val="0"/>
      </c:catAx>
      <c:valAx>
        <c:axId val="235179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0628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FD-4A9B-8DD5-BB3EEDD24B5B}"/>
              </c:ext>
            </c:extLst>
          </c:dPt>
          <c:dLbls>
            <c:dLbl>
              <c:idx val="0"/>
              <c:layout>
                <c:manualLayout>
                  <c:x val="3.0394790616570896E-2"/>
                  <c:y val="-5.439189632545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FD-4A9B-8DD5-BB3EEDD24B5B}"/>
                </c:ext>
                <c:ext xmlns:c15="http://schemas.microsoft.com/office/drawing/2012/chart" uri="{CE6537A1-D6FC-4f65-9D91-7224C49458BB}">
                  <c15:layout>
                    <c:manualLayout>
                      <c:w val="0.23313716408286334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8003523780980748E-2"/>
                  <c:y val="-7.6175853018372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FD-4A9B-8DD5-BB3EEDD24B5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 INFRAESTRUCTURA'!$E$33:$F$33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'2.6 INFRAESTRUCTURA'!$E$34:$F$34</c:f>
              <c:numCache>
                <c:formatCode>[$$-240A]\ #,##0.00</c:formatCode>
                <c:ptCount val="2"/>
                <c:pt idx="0">
                  <c:v>68831678228</c:v>
                </c:pt>
                <c:pt idx="1">
                  <c:v>25061761322.760002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FD-4A9B-8DD5-BB3EEDD24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282080"/>
        <c:axId val="303447088"/>
        <c:axId val="0"/>
      </c:bar3DChart>
      <c:catAx>
        <c:axId val="3032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447088"/>
        <c:crosses val="autoZero"/>
        <c:auto val="1"/>
        <c:lblAlgn val="ctr"/>
        <c:lblOffset val="100"/>
        <c:noMultiLvlLbl val="0"/>
      </c:catAx>
      <c:valAx>
        <c:axId val="3034470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28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63-4C69-BEFC-7A0D50AC3803}"/>
              </c:ext>
            </c:extLst>
          </c:dPt>
          <c:dLbls>
            <c:dLbl>
              <c:idx val="0"/>
              <c:layout>
                <c:manualLayout>
                  <c:x val="-5.4442194725659337E-2"/>
                  <c:y val="6.05431430446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63-4C69-BEFC-7A0D50AC3803}"/>
                </c:ext>
                <c:ext xmlns:c15="http://schemas.microsoft.com/office/drawing/2012/chart" uri="{CE6537A1-D6FC-4f65-9D91-7224C49458BB}">
                  <c15:layout>
                    <c:manualLayout>
                      <c:w val="0.2338031746031746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4681514810648574E-2"/>
                  <c:y val="-5.279297900262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63-4C69-BEFC-7A0D50AC380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 TRANSITO'!$E$19:$F$19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'2.7 TRANSITO'!$E$20:$F$20</c:f>
              <c:numCache>
                <c:formatCode>[$$-240A]\ #,##0.00</c:formatCode>
                <c:ptCount val="2"/>
                <c:pt idx="0">
                  <c:v>9030673153</c:v>
                </c:pt>
                <c:pt idx="1">
                  <c:v>5358949059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63-4C69-BEFC-7A0D50AC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447480"/>
        <c:axId val="303447872"/>
        <c:axId val="0"/>
      </c:bar3DChart>
      <c:catAx>
        <c:axId val="30344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447872"/>
        <c:crosses val="autoZero"/>
        <c:auto val="1"/>
        <c:lblAlgn val="ctr"/>
        <c:lblOffset val="100"/>
        <c:noMultiLvlLbl val="0"/>
      </c:catAx>
      <c:valAx>
        <c:axId val="303447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447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TRÁNSITO Y TRANSPORTE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0-4302-9021-B2EFD66B524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0-4302-9021-B2EFD66B524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0-4302-9021-B2EFD66B5248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50-4302-9021-B2EFD66B524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486220472440945"/>
                  <c:y val="-1.68544036162146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50-4302-9021-B2EFD66B524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124890638670166"/>
                  <c:y val="-1.56969962088072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50-4302-9021-B2EFD66B524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 TRANSITO'!$E$13:$E$15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'2.7 TRANSITO'!$G$13:$G$15</c:f>
              <c:numCache>
                <c:formatCode>0.00%</c:formatCode>
                <c:ptCount val="3"/>
                <c:pt idx="0">
                  <c:v>0.5</c:v>
                </c:pt>
                <c:pt idx="1">
                  <c:v>0.2857142857142857</c:v>
                </c:pt>
                <c:pt idx="2">
                  <c:v>0.21428571428571427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50-4302-9021-B2EFD66B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390023959423372"/>
          <c:y val="0.87000279965004379"/>
          <c:w val="0.63616694971952037"/>
          <c:h val="0.1200003499562555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1-45CA-B329-DD1F757760B1}"/>
              </c:ext>
            </c:extLst>
          </c:dPt>
          <c:dLbls>
            <c:dLbl>
              <c:idx val="0"/>
              <c:layout>
                <c:manualLayout>
                  <c:x val="-1.596990039690457E-2"/>
                  <c:y val="-4.5218722659667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A1-45CA-B329-DD1F757760B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373082797650312E-2"/>
                  <c:y val="-6.2312739753684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A1-45CA-B329-DD1F757760B1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 TICS'!$E$20:$F$20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'2.8 TICS'!$E$21:$F$21</c:f>
              <c:numCache>
                <c:formatCode>[$$-240A]\ #,##0.00</c:formatCode>
                <c:ptCount val="2"/>
                <c:pt idx="0">
                  <c:v>2807289450</c:v>
                </c:pt>
                <c:pt idx="1">
                  <c:v>1061850788.8199999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1-45CA-B329-DD1F7577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449048"/>
        <c:axId val="303449440"/>
        <c:axId val="0"/>
      </c:bar3DChart>
      <c:catAx>
        <c:axId val="30344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449440"/>
        <c:crosses val="autoZero"/>
        <c:auto val="1"/>
        <c:lblAlgn val="ctr"/>
        <c:lblOffset val="100"/>
        <c:noMultiLvlLbl val="0"/>
      </c:catAx>
      <c:valAx>
        <c:axId val="303449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449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 TICS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'2.8 TICS'!$G$14:$G$16</c:f>
              <c:strCache>
                <c:ptCount val="3"/>
                <c:pt idx="0">
                  <c:v>41,67%</c:v>
                </c:pt>
                <c:pt idx="1">
                  <c:v>25,00%</c:v>
                </c:pt>
                <c:pt idx="2">
                  <c:v>33,33%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3A-4BFA-BBAB-432193ECA4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3A-4BFA-BBAB-432193ECA4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3A-4BFA-BBAB-432193ECA457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3A-4BFA-BBAB-432193ECA45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486220472440945"/>
                  <c:y val="-1.68544036162146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3A-4BFA-BBAB-432193ECA45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124890638670166"/>
                  <c:y val="-1.56969962088072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E3A-4BFA-BBAB-432193ECA45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'2.8 TICS'!$E$14:$E$16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'2.8 TICS'!$G$14:$G$16</c:f>
              <c:numCache>
                <c:formatCode>0.00%</c:formatCode>
                <c:ptCount val="3"/>
                <c:pt idx="0">
                  <c:v>0.41666666666666669</c:v>
                </c:pt>
                <c:pt idx="1">
                  <c:v>0.25</c:v>
                </c:pt>
                <c:pt idx="2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3A-4BFA-BBAB-432193ECA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29243655300058"/>
          <c:y val="0.86222870703462384"/>
          <c:w val="0.61655910658226543"/>
          <c:h val="0.13666701662292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35986736338983516"/>
          <c:y val="2.73972602739726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7A-49D1-8E74-E7DA09A08AF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7A-49D1-8E74-E7DA09A08AF4}"/>
              </c:ext>
            </c:extLst>
          </c:dPt>
          <c:dLbls>
            <c:dLbl>
              <c:idx val="0"/>
              <c:layout>
                <c:manualLayout>
                  <c:x val="0.10397554555791053"/>
                  <c:y val="-1.8840909748928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0990962393807558"/>
                      <c:h val="7.164383561643834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294043786155004E-2"/>
                  <c:y val="-9.406773578843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2919835574952291"/>
                      <c:h val="7.164383561643834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'2.9 HACIENDA'!$E$18:$F$18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'2.9 HACIENDA'!$E$19:$F$19</c:f>
              <c:numCache>
                <c:formatCode>[$$-240A]\ #,##0.00</c:formatCode>
                <c:ptCount val="2"/>
                <c:pt idx="0">
                  <c:v>10341104542</c:v>
                </c:pt>
                <c:pt idx="1">
                  <c:v>8887678996.5499992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A-49D1-8E74-E7DA09A0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235928"/>
        <c:axId val="304236320"/>
        <c:axId val="0"/>
      </c:bar3DChart>
      <c:catAx>
        <c:axId val="30423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4236320"/>
        <c:crosses val="autoZero"/>
        <c:auto val="1"/>
        <c:lblAlgn val="ctr"/>
        <c:lblOffset val="100"/>
        <c:noMultiLvlLbl val="0"/>
      </c:catAx>
      <c:valAx>
        <c:axId val="304236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4235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HACIENDA </a:t>
            </a:r>
          </a:p>
        </c:rich>
      </c:tx>
      <c:layout>
        <c:manualLayout>
          <c:xMode val="edge"/>
          <c:yMode val="edge"/>
          <c:x val="0.18035216689990838"/>
          <c:y val="6.46868103424788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487255759696704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4A-488B-9CC6-1178F9B6740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4A-488B-9CC6-1178F9B6740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4A-488B-9CC6-1178F9B6740D}"/>
              </c:ext>
            </c:extLst>
          </c:dPt>
          <c:dLbls>
            <c:dLbl>
              <c:idx val="0"/>
              <c:layout>
                <c:manualLayout>
                  <c:x val="-4.0457458442694716E-2"/>
                  <c:y val="-0.260355788859725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878937007874014E-2"/>
                  <c:y val="-8.24114173228346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733552055992991"/>
                  <c:y val="-3.85870516185477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'2.9 HACIENDA'!$E$12:$E$14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'2.9 HACIENDA'!$G$12:$G$14</c:f>
              <c:numCache>
                <c:formatCode>0.00%</c:formatCode>
                <c:ptCount val="3"/>
                <c:pt idx="0">
                  <c:v>0.70833333333333337</c:v>
                </c:pt>
                <c:pt idx="1">
                  <c:v>0.16666666666666666</c:v>
                </c:pt>
                <c:pt idx="2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4A-488B-9CC6-1178F9B6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742358078602621"/>
          <c:y val="0.8866694663167104"/>
          <c:w val="0.58296943231441045"/>
          <c:h val="9.333368328958879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FE-48D6-92A3-91E7441CC9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FE-48D6-92A3-91E7441CC94E}"/>
              </c:ext>
            </c:extLst>
          </c:dPt>
          <c:dLbls>
            <c:dLbl>
              <c:idx val="0"/>
              <c:layout>
                <c:manualLayout>
                  <c:x val="-9.4401142376369512E-2"/>
                  <c:y val="6.1403508771929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FE-48D6-92A3-91E7441CC94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032602245136"/>
                  <c:y val="4.82456140350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FE-48D6-92A3-91E7441CC94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 FORTALECIMIENTO INSTITUCION'!$E$18:$F$18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'3.1 FORTALECIMIENTO INSTITUCION'!$E$19:$F$19</c:f>
              <c:numCache>
                <c:formatCode>[$$-240A]\ #,##0.00</c:formatCode>
                <c:ptCount val="2"/>
                <c:pt idx="0">
                  <c:v>1494980000</c:v>
                </c:pt>
                <c:pt idx="1">
                  <c:v>931292921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FE-48D6-92A3-91E7441C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237496"/>
        <c:axId val="304237888"/>
        <c:axId val="0"/>
      </c:bar3DChart>
      <c:catAx>
        <c:axId val="30423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4237888"/>
        <c:crosses val="autoZero"/>
        <c:auto val="1"/>
        <c:lblAlgn val="ctr"/>
        <c:lblOffset val="100"/>
        <c:noMultiLvlLbl val="0"/>
      </c:catAx>
      <c:valAx>
        <c:axId val="3042378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4237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s-MX" sz="1100" b="1"/>
              <a:t>DEPARTAMENTO ADMINISTRATIVO DE FORTALECIMIENTO INSTITUCIONAL</a:t>
            </a:r>
          </a:p>
        </c:rich>
      </c:tx>
      <c:layout>
        <c:manualLayout>
          <c:xMode val="edge"/>
          <c:yMode val="edge"/>
          <c:x val="0.17488507714646612"/>
          <c:y val="3.829526259712585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'3.1 FORTALECIMIENTO INSTITUCION'!$E$12:$E$14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B7-435D-8743-9A56C613141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B7-435D-8743-9A56C613141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B7-435D-8743-9A56C613141C}"/>
              </c:ext>
            </c:extLst>
          </c:dPt>
          <c:dLbls>
            <c:dLbl>
              <c:idx val="0"/>
              <c:layout>
                <c:manualLayout>
                  <c:x val="0.19291244141708663"/>
                  <c:y val="2.8854759491697201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B7-435D-8743-9A56C61314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2633415575676731"/>
                  <c:y val="-0.15179751045970738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B7-435D-8743-9A56C61314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506846019247595"/>
                  <c:y val="1.2164625255176436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B7-435D-8743-9A56C61314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 FORTALECIMIENTO INSTITUCION'!$E$12:$E$14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'3.1 FORTALECIMIENTO INSTITUCION'!$G$12:$G$14</c:f>
              <c:numCache>
                <c:formatCode>0.00%</c:formatCode>
                <c:ptCount val="3"/>
                <c:pt idx="0">
                  <c:v>0</c:v>
                </c:pt>
                <c:pt idx="1">
                  <c:v>0.63636363636363635</c:v>
                </c:pt>
                <c:pt idx="2">
                  <c:v>0.36363636363636365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B7-435D-8743-9A56C613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85589519650655"/>
          <c:y val="0.87619314252385117"/>
          <c:w val="0.55240174672489084"/>
          <c:h val="0.11428604757738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5A-48DA-B9C1-AC3FC9B96D5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5A-48DA-B9C1-AC3FC9B96D50}"/>
              </c:ext>
            </c:extLst>
          </c:dPt>
          <c:dLbls>
            <c:dLbl>
              <c:idx val="0"/>
              <c:layout>
                <c:manualLayout>
                  <c:x val="-9.335491468091793E-2"/>
                  <c:y val="2.3543256377163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5A-48DA-B9C1-AC3FC9B96D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13449090432775"/>
                  <c:y val="-1.412595382629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5A-48DA-B9C1-AC3FC9B96D50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'3.2 JURIDICA'!$E$17:$F$17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'3.2 JURIDICA'!$E$18:$F$18</c:f>
              <c:numCache>
                <c:formatCode>[$$-240A]\ #,##0.00</c:formatCode>
                <c:ptCount val="2"/>
                <c:pt idx="0">
                  <c:v>1334800000</c:v>
                </c:pt>
                <c:pt idx="1">
                  <c:v>1071119778.67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5A-48DA-B9C1-AC3FC9B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239064"/>
        <c:axId val="304673024"/>
        <c:axId val="0"/>
      </c:bar3DChart>
      <c:catAx>
        <c:axId val="30423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4673024"/>
        <c:crosses val="autoZero"/>
        <c:auto val="1"/>
        <c:lblAlgn val="ctr"/>
        <c:lblOffset val="100"/>
        <c:noMultiLvlLbl val="0"/>
      </c:catAx>
      <c:valAx>
        <c:axId val="304673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4239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EJECUCIÓN POR ACTIVIDADES </a:t>
            </a:r>
          </a:p>
        </c:rich>
      </c:tx>
      <c:layout>
        <c:manualLayout>
          <c:xMode val="edge"/>
          <c:yMode val="edge"/>
          <c:x val="0.29383728598693615"/>
          <c:y val="2.361623433255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GENERAL'!$E$39:$G$39</c:f>
              <c:strCache>
                <c:ptCount val="1"/>
                <c:pt idx="0">
                  <c:v>EJECUCIÓN POR ACTIVIDADES </c:v>
                </c:pt>
              </c:strCache>
            </c:strRef>
          </c:tx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E8-4ED2-AF3A-4FB657BFB3D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E8-4ED2-AF3A-4FB657BFB3D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E8-4ED2-AF3A-4FB657BFB3D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GENERAL'!$E$41:$E$43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 CONSOLIDADO GENERAL'!$G$41:$G$43</c:f>
              <c:numCache>
                <c:formatCode>0.00%</c:formatCode>
                <c:ptCount val="3"/>
                <c:pt idx="0">
                  <c:v>0.26640926640926643</c:v>
                </c:pt>
                <c:pt idx="1">
                  <c:v>0.22683397683397682</c:v>
                </c:pt>
                <c:pt idx="2">
                  <c:v>0.34362934362934361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E8-4ED2-AF3A-4FB657BFB3D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05683944621682"/>
          <c:y val="0.90996264172065033"/>
          <c:w val="0.64816741664938327"/>
          <c:h val="6.6421123946799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JURÍDICO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838094196558763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30-4777-905F-A43239F1C6F5}"/>
              </c:ext>
            </c:extLst>
          </c:dPt>
          <c:dPt>
            <c:idx val="1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30-4777-905F-A43239F1C6F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130-4777-905F-A43239F1C6F5}"/>
              </c:ext>
            </c:extLst>
          </c:dPt>
          <c:dLbls>
            <c:dLbl>
              <c:idx val="1"/>
              <c:layout>
                <c:manualLayout>
                  <c:x val="-0.21597331583552057"/>
                  <c:y val="-2.03266258384368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30-4777-905F-A43239F1C6F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847112860892389"/>
                  <c:y val="-2.96551472732575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30-4777-905F-A43239F1C6F5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 JURIDICA'!$E$11:$E$13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'3.2 JURIDICA'!$G$11:$G$13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30-4777-905F-A43239F1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915078425654307"/>
          <c:y val="0.8882000619487781"/>
          <c:w val="0.58170049005312252"/>
          <c:h val="8.69565217391304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BIENES Y SUMINISTROS</a:t>
            </a:r>
          </a:p>
        </c:rich>
      </c:tx>
      <c:layout>
        <c:manualLayout>
          <c:xMode val="edge"/>
          <c:yMode val="edge"/>
          <c:x val="0.16806159793406106"/>
          <c:y val="7.109829581161511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2C-4AF2-AE07-918C64A65CE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2C-4AF2-AE07-918C64A65CE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2C-4AF2-AE07-918C64A65CE5}"/>
              </c:ext>
            </c:extLst>
          </c:dPt>
          <c:dLbls>
            <c:dLbl>
              <c:idx val="1"/>
              <c:layout>
                <c:manualLayout>
                  <c:x val="-0.18715387139107612"/>
                  <c:y val="-8.807596967045786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2C-4AF2-AE07-918C64A65CE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506835083114612"/>
                  <c:y val="-7.057451151939340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2C-4AF2-AE07-918C64A65CE5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'3.4 BIENES Y SUMINISTROS'!$E$13:$E$15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'3.4 BIENES Y SUMINISTROS'!$G$13:$G$15</c:f>
              <c:numCache>
                <c:formatCode>0.00%</c:formatCode>
                <c:ptCount val="3"/>
                <c:pt idx="0">
                  <c:v>0.53333333333333333</c:v>
                </c:pt>
                <c:pt idx="1">
                  <c:v>0</c:v>
                </c:pt>
                <c:pt idx="2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2C-4AF2-AE07-918C64A6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45490264421172"/>
          <c:y val="0.86470711749266627"/>
          <c:w val="0.61073717897938817"/>
          <c:h val="0.123529720549637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8697201017811703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D6-45DE-BA69-B916D20CC257}"/>
              </c:ext>
            </c:extLst>
          </c:dPt>
          <c:dLbls>
            <c:dLbl>
              <c:idx val="0"/>
              <c:layout>
                <c:manualLayout>
                  <c:x val="-9.4688545611187544E-4"/>
                  <c:y val="-0.36356450635978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D6-45DE-BA69-B916D20CC257}"/>
                </c:ext>
                <c:ext xmlns:c15="http://schemas.microsoft.com/office/drawing/2012/chart" uri="{CE6537A1-D6FC-4f65-9D91-7224C49458BB}">
                  <c15:layout>
                    <c:manualLayout>
                      <c:w val="0.24442748091603053"/>
                      <c:h val="8.414529914529912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5766664663100317E-2"/>
                  <c:y val="-0.14487213136819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D6-45DE-BA69-B916D20CC25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 BIENES Y SUMINISTROS'!$E$19:$F$19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'3.4 BIENES Y SUMINISTROS'!$E$20:$F$20</c:f>
              <c:numCache>
                <c:formatCode>[$$-240A]\ #,##0.00</c:formatCode>
                <c:ptCount val="2"/>
                <c:pt idx="0">
                  <c:v>821749999</c:v>
                </c:pt>
                <c:pt idx="1">
                  <c:v>765985527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D6-45DE-BA69-B916D20CC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674592"/>
        <c:axId val="304674984"/>
        <c:axId val="0"/>
      </c:bar3DChart>
      <c:catAx>
        <c:axId val="3046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4674984"/>
        <c:crosses val="autoZero"/>
        <c:auto val="1"/>
        <c:lblAlgn val="ctr"/>
        <c:lblOffset val="100"/>
        <c:noMultiLvlLbl val="0"/>
      </c:catAx>
      <c:valAx>
        <c:axId val="304674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467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FE-491E-8E57-E486198816AC}"/>
              </c:ext>
            </c:extLst>
          </c:dPt>
          <c:dLbls>
            <c:dLbl>
              <c:idx val="0"/>
              <c:layout>
                <c:manualLayout>
                  <c:x val="6.7601009144898111E-2"/>
                  <c:y val="-5.04714401865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770114942528736"/>
                      <c:h val="6.732109414705124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0262768878028177E-2"/>
                  <c:y val="-6.4137791794593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514687100893997"/>
                      <c:h val="8.0247568523430596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 PLANEACION'!$E$37:$F$37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'3.5 PLANEACION'!$E$38:$F$38</c:f>
              <c:numCache>
                <c:formatCode>[$$-240A]\ #,##0.00</c:formatCode>
                <c:ptCount val="2"/>
                <c:pt idx="0">
                  <c:v>12169897627</c:v>
                </c:pt>
                <c:pt idx="1">
                  <c:v>7688245719.8199997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FE-491E-8E57-E4861988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675768"/>
        <c:axId val="304676160"/>
        <c:axId val="0"/>
      </c:bar3DChart>
      <c:catAx>
        <c:axId val="30467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4676160"/>
        <c:crosses val="autoZero"/>
        <c:auto val="1"/>
        <c:lblAlgn val="ctr"/>
        <c:lblOffset val="100"/>
        <c:noMultiLvlLbl val="0"/>
      </c:catAx>
      <c:valAx>
        <c:axId val="304676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4675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PLANEACIÓN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02274339169942E-2"/>
          <c:y val="0.25711626754620276"/>
          <c:w val="0.64712281127240301"/>
          <c:h val="0.63986775989284528"/>
        </c:manualLayout>
      </c:layout>
      <c:pie3DChart>
        <c:varyColors val="1"/>
        <c:ser>
          <c:idx val="0"/>
          <c:order val="0"/>
          <c:tx>
            <c:strRef>
              <c:f>'3.5 PLANEACION'!$E$31:$E$33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CA-47A9-A4FA-E268766EFD9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CA-47A9-A4FA-E268766EFD94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CA-47A9-A4FA-E268766EFD9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CA-47A9-A4FA-E268766EFD94}"/>
              </c:ext>
            </c:extLst>
          </c:dPt>
          <c:dLbls>
            <c:dLbl>
              <c:idx val="0"/>
              <c:layout>
                <c:manualLayout>
                  <c:x val="-0.15555205599300087"/>
                  <c:y val="-0.191308690580344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CA-47A9-A4FA-E268766EFD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650640425510936"/>
                  <c:y val="9.07756527466477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CA-47A9-A4FA-E268766EFD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166229221347358E-2"/>
                  <c:y val="-4.89089384660250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CA-47A9-A4FA-E268766EFD9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'3.5 PLANEACION'!$E$31:$E$33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'3.5 PLANEACION'!$G$31:$G$33</c:f>
              <c:numCache>
                <c:formatCode>0.00%</c:formatCode>
                <c:ptCount val="3"/>
                <c:pt idx="0">
                  <c:v>0.46400000000000002</c:v>
                </c:pt>
                <c:pt idx="1">
                  <c:v>0.24</c:v>
                </c:pt>
                <c:pt idx="2">
                  <c:v>0.29599999999999999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ACA-47A9-A4FA-E268766EF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08315565031986E-2"/>
          <c:y val="0.86725920387547994"/>
          <c:w val="0.57782583147255839"/>
          <c:h val="0.12389417198221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D1-4F55-AA2B-32CFCEB17BA3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580000000</c:v>
                </c:pt>
                <c:pt idx="1">
                  <c:v>515000000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D1-4F55-AA2B-32CFCEB1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466848"/>
        <c:axId val="304467240"/>
        <c:axId val="0"/>
      </c:bar3DChart>
      <c:catAx>
        <c:axId val="3044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4467240"/>
        <c:crosses val="autoZero"/>
        <c:auto val="1"/>
        <c:lblAlgn val="ctr"/>
        <c:lblOffset val="100"/>
        <c:noMultiLvlLbl val="0"/>
      </c:catAx>
      <c:valAx>
        <c:axId val="304467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446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E1-433F-91D5-30FFB6B0AF5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E1-433F-91D5-30FFB6B0AF5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E1-433F-91D5-30FFB6B0AF5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E1-433F-91D5-30FFB6B0AF5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E1-433F-91D5-30FFB6B0AF5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E1-433F-91D5-30FFB6B0AF5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'3.6 CONTROL INTERNO'!$E$13:$E$15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'3.6 CONTROL INTERNO'!$G$13:$G$15</c:f>
              <c:numCache>
                <c:formatCode>0.00%</c:formatCode>
                <c:ptCount val="3"/>
                <c:pt idx="0">
                  <c:v>0.7142857142857143</c:v>
                </c:pt>
                <c:pt idx="1">
                  <c:v>0.14285714285714285</c:v>
                </c:pt>
                <c:pt idx="2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E1-433F-91D5-30FFB6B0A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305676855895197"/>
          <c:y val="0.882943143812709"/>
          <c:w val="0.58296943231441045"/>
          <c:h val="9.36454849498328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DB-4EC3-B270-895B5BEB7BDF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580000000</c:v>
                </c:pt>
                <c:pt idx="1">
                  <c:v>515000000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B-4EC3-B270-895B5BEB7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843352"/>
        <c:axId val="303843744"/>
        <c:axId val="0"/>
      </c:bar3DChart>
      <c:catAx>
        <c:axId val="30384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3843744"/>
        <c:crosses val="autoZero"/>
        <c:auto val="1"/>
        <c:lblAlgn val="ctr"/>
        <c:lblOffset val="100"/>
        <c:noMultiLvlLbl val="0"/>
      </c:catAx>
      <c:valAx>
        <c:axId val="303843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843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 DISCIPLINARIO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tx>
            <c:strRef>
              <c:f>'3.7. DACID'!$E$10:$E$12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41-4A23-89FD-CA6C3ECBAA8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41-4A23-89FD-CA6C3ECBAA8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41-4A23-89FD-CA6C3ECBAA8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41-4A23-89FD-CA6C3ECBAA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41-4A23-89FD-CA6C3ECBAA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41-4A23-89FD-CA6C3ECBAA8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'3.7. DACID'!$E$10:$E$12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'3.7. DACID'!$G$10:$G$12</c:f>
              <c:numCache>
                <c:formatCode>0.00%</c:formatCode>
                <c:ptCount val="3"/>
                <c:pt idx="0">
                  <c:v>0.5714285714285714</c:v>
                </c:pt>
                <c:pt idx="1">
                  <c:v>0</c:v>
                </c:pt>
                <c:pt idx="2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F41-4A23-89FD-CA6C3ECBA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524017467248909"/>
          <c:y val="0.88372232540699847"/>
          <c:w val="0.58296943231441045"/>
          <c:h val="9.3023255813953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FOMENTO DE VIVIENDA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FC-44F1-A8AB-BCAD29B1B1A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FC-44F1-A8AB-BCAD29B1B1A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FC-44F1-A8AB-BCAD29B1B1A9}"/>
              </c:ext>
            </c:extLst>
          </c:dPt>
          <c:dLbls>
            <c:dLbl>
              <c:idx val="0"/>
              <c:layout>
                <c:manualLayout>
                  <c:x val="-0.20817399387576552"/>
                  <c:y val="-0.114787474482356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FC-44F1-A8AB-BCAD29B1B1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18591426071752E-2"/>
                  <c:y val="5.57662583843686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FC-44F1-A8AB-BCAD29B1B1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275131233595801"/>
                  <c:y val="-5.6496427529892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FC-44F1-A8AB-BCAD29B1B1A9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 FOMVIVIENDA'!$E$12:$E$14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'4.1 FOMVIVIENDA'!$G$12:$G$14</c:f>
              <c:numCache>
                <c:formatCode>0.00%</c:formatCode>
                <c:ptCount val="3"/>
                <c:pt idx="0">
                  <c:v>0.45454545454545453</c:v>
                </c:pt>
                <c:pt idx="1">
                  <c:v>0.36363636363636365</c:v>
                </c:pt>
                <c:pt idx="2">
                  <c:v>0.18181818181818182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FC-44F1-A8AB-BCAD29B1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03930131004367"/>
          <c:y val="0.86092715231788075"/>
          <c:w val="0.63755458515283847"/>
          <c:h val="0.122516556291390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POR DEPENDENCIAS/ENTIDADES</a:t>
            </a:r>
          </a:p>
        </c:rich>
      </c:tx>
      <c:layout>
        <c:manualLayout>
          <c:xMode val="edge"/>
          <c:yMode val="edge"/>
          <c:x val="0.20208104735482321"/>
          <c:y val="4.228739087626400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NIVEL CENTRAL '!$E$24:$G$24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D2-4F00-A6B8-3388F9F557A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D2-4F00-A6B8-3388F9F557A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D2-4F00-A6B8-3388F9F557A8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D2-4F00-A6B8-3388F9F557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D2-4F00-A6B8-3388F9F557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D2-4F00-A6B8-3388F9F557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NIVEL CENTRAL '!$E$26:$E$28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 CONSOLIDADO NIVEL CENTRAL '!$G$26:$G$28</c:f>
              <c:numCache>
                <c:formatCode>0.00%</c:formatCode>
                <c:ptCount val="3"/>
                <c:pt idx="0">
                  <c:v>0.3125</c:v>
                </c:pt>
                <c:pt idx="1">
                  <c:v>0.5</c:v>
                </c:pt>
                <c:pt idx="2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D2-4F00-A6B8-3388F9F5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98829186408225"/>
          <c:y val="0.87241316000649516"/>
          <c:w val="0.68018324770588001"/>
          <c:h val="8.12930022594651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595509997162936"/>
          <c:y val="3.8420490928495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25-4075-9474-9DDE8A7D1608}"/>
              </c:ext>
            </c:extLst>
          </c:dPt>
          <c:dLbls>
            <c:dLbl>
              <c:idx val="0"/>
              <c:layout>
                <c:manualLayout>
                  <c:x val="-9.411763763327495E-2"/>
                  <c:y val="-0.2057015454376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25-4075-9474-9DDE8A7D160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699518976551309E-2"/>
                  <c:y val="-0.192286227256898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25-4075-9474-9DDE8A7D160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 FOMVIVIENDA'!$E$18:$F$18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'4.1 FOMVIVIENDA'!$E$19:$F$19</c:f>
              <c:numCache>
                <c:formatCode>"$"\ #,##0.0</c:formatCode>
                <c:ptCount val="2"/>
                <c:pt idx="0">
                  <c:v>210263602</c:v>
                </c:pt>
                <c:pt idx="1">
                  <c:v>190920400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25-4075-9474-9DDE8A7D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844920"/>
        <c:axId val="303845312"/>
        <c:axId val="0"/>
      </c:bar3DChart>
      <c:catAx>
        <c:axId val="30384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3845312"/>
        <c:crosses val="autoZero"/>
        <c:auto val="1"/>
        <c:lblAlgn val="ctr"/>
        <c:lblOffset val="100"/>
        <c:noMultiLvlLbl val="0"/>
      </c:catAx>
      <c:valAx>
        <c:axId val="303845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844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DESARROLLO URBANO</a:t>
            </a:r>
          </a:p>
          <a:p>
            <a:pPr>
              <a:defRPr sz="1000" b="1"/>
            </a:pPr>
            <a:r>
              <a:rPr lang="es-MX" sz="1000" b="1"/>
              <a:t>EDUA</a:t>
            </a:r>
          </a:p>
        </c:rich>
      </c:tx>
      <c:layout>
        <c:manualLayout>
          <c:xMode val="edge"/>
          <c:yMode val="edge"/>
          <c:x val="0.27133069828722001"/>
          <c:y val="8.743169398907103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9BBF57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84-409C-80FE-1063CA38958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84-409C-80FE-1063CA38958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84-409C-80FE-1063CA38958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84-409C-80FE-1063CA38958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326498250218724"/>
                  <c:y val="-1.98494459025955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84-409C-80FE-1063CA38958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229057305336832"/>
                  <c:y val="-1.98494459025955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84-409C-80FE-1063CA38958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 EDUA'!$E$11:$E$13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'4.2 EDUA'!$F$11:$F$13</c:f>
              <c:numCache>
                <c:formatCode>#,##0</c:formatCode>
                <c:ptCount val="3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84-409C-80FE-1063CA389587}"/>
            </c:ext>
          </c:extLst>
        </c:ser>
        <c:ser>
          <c:idx val="1"/>
          <c:order val="1"/>
          <c:cat>
            <c:strRef>
              <c:f>'4.2 EDUA'!$E$11:$E$13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'4.2 EDUA'!$G$11:$G$13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B5-449A-B28A-2F05754EC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162466499075478"/>
          <c:y val="0.88079469076053329"/>
          <c:w val="0.79130409490370435"/>
          <c:h val="0.11920530923946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F6-4392-8017-6331D6F7D2A0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C249A5F-0D68-4058-BF50-15E12A1EA1A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F6-4392-8017-6331D6F7D2A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954822A-401F-4744-A070-A361891FD12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F6-4392-8017-6331D6F7D2A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'4.2 EDUA'!$E$17:$F$17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'4.2 EDUA'!$E$18:$F$18</c:f>
              <c:numCache>
                <c:formatCode>"$"#,##0</c:formatCode>
                <c:ptCount val="2"/>
                <c:pt idx="0">
                  <c:v>56227563</c:v>
                </c:pt>
                <c:pt idx="1">
                  <c:v>42938438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F6-4392-8017-6331D6F7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846488"/>
        <c:axId val="303846880"/>
        <c:axId val="0"/>
      </c:bar3DChart>
      <c:catAx>
        <c:axId val="30384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3846880"/>
        <c:crosses val="autoZero"/>
        <c:auto val="1"/>
        <c:lblAlgn val="ctr"/>
        <c:lblOffset val="100"/>
        <c:noMultiLvlLbl val="0"/>
      </c:catAx>
      <c:valAx>
        <c:axId val="3038468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3846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CORPORACIÓN DE CULTURA Y TURISMO</a:t>
            </a:r>
          </a:p>
        </c:rich>
      </c:tx>
      <c:layout>
        <c:manualLayout>
          <c:xMode val="edge"/>
          <c:yMode val="edge"/>
          <c:x val="0.20519410977242306"/>
          <c:y val="9.832841691248771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030612995805427E-2"/>
          <c:y val="0.26972070351671157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2E-417E-8CE8-5C2B5DCC557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2E-417E-8CE8-5C2B5DCC557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2E-417E-8CE8-5C2B5DCC557A}"/>
              </c:ext>
            </c:extLst>
          </c:dPt>
          <c:dLbls>
            <c:dLbl>
              <c:idx val="0"/>
              <c:layout>
                <c:manualLayout>
                  <c:x val="9.5376859142607226E-2"/>
                  <c:y val="-0.1898191892680082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2E-417E-8CE8-5C2B5DCC55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972703412073491E-2"/>
                  <c:y val="3.1800087489063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2E-417E-8CE8-5C2B5DCC55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5404161067195496"/>
                  <c:y val="3.78422868280539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2E-417E-8CE8-5C2B5DCC557A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 CORPOCULTURA'!$E$33:$E$35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'4.3 CORPOCULTURA'!$G$33:$G$35</c:f>
              <c:numCache>
                <c:formatCode>0.00%</c:formatCode>
                <c:ptCount val="3"/>
                <c:pt idx="0">
                  <c:v>0.47826086956521741</c:v>
                </c:pt>
                <c:pt idx="1">
                  <c:v>4.3478260869565216E-2</c:v>
                </c:pt>
                <c:pt idx="2">
                  <c:v>0.47826086956521741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2E-417E-8CE8-5C2B5DCC5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31372437300443"/>
          <c:y val="0.88296499262730954"/>
          <c:w val="0.66450352796809486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>
        <c:manualLayout>
          <c:xMode val="edge"/>
          <c:yMode val="edge"/>
          <c:x val="0.40448315911730548"/>
          <c:y val="5.303867403314917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CB-4282-AB9F-B12FFC5BCA36}"/>
              </c:ext>
            </c:extLst>
          </c:dPt>
          <c:dLbls>
            <c:dLbl>
              <c:idx val="0"/>
              <c:layout>
                <c:manualLayout>
                  <c:x val="-6.3030290998751418E-2"/>
                  <c:y val="-0.22740189219861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BCB-4282-AB9F-B12FFC5BCA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23152789665E-2"/>
                  <c:y val="-0.15918132453902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CB-4282-AB9F-B12FFC5BCA36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 CORPOCULTURA'!$E$39:$F$39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'4.3 CORPOCULTURA'!$E$40:$F$40</c:f>
              <c:numCache>
                <c:formatCode>"$"\ #,##0.00</c:formatCode>
                <c:ptCount val="2"/>
                <c:pt idx="0">
                  <c:v>3382372628</c:v>
                </c:pt>
                <c:pt idx="1">
                  <c:v>1231887564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CB-4282-AB9F-B12FFC5B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095208"/>
        <c:axId val="306095600"/>
        <c:axId val="0"/>
      </c:bar3DChart>
      <c:catAx>
        <c:axId val="30609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6095600"/>
        <c:crosses val="autoZero"/>
        <c:auto val="1"/>
        <c:lblAlgn val="ctr"/>
        <c:lblOffset val="100"/>
        <c:noMultiLvlLbl val="0"/>
      </c:catAx>
      <c:valAx>
        <c:axId val="306095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6095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paperSize="5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IMDERA</a:t>
            </a:r>
          </a:p>
        </c:rich>
      </c:tx>
      <c:layout>
        <c:manualLayout>
          <c:xMode val="edge"/>
          <c:yMode val="edge"/>
          <c:x val="0.43015255189171231"/>
          <c:y val="3.509472207063225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6459208223972003"/>
          <c:w val="0.81388888888888888"/>
          <c:h val="0.55031131525226018"/>
        </c:manualLayout>
      </c:layout>
      <c:pie3DChart>
        <c:varyColors val="1"/>
        <c:ser>
          <c:idx val="0"/>
          <c:order val="0"/>
          <c:tx>
            <c:strRef>
              <c:f>'4.4 IMDERA'!$E$14:$E$16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11-4AE0-B8F9-A52D0505C59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11-4AE0-B8F9-A52D0505C59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11-4AE0-B8F9-A52D0505C597}"/>
              </c:ext>
            </c:extLst>
          </c:dPt>
          <c:dLbls>
            <c:dLbl>
              <c:idx val="0"/>
              <c:layout>
                <c:manualLayout>
                  <c:x val="8.6374628935575293E-2"/>
                  <c:y val="-8.79412350683887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11-4AE0-B8F9-A52D0505C59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326498250218722"/>
                  <c:y val="-5.67774861475648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11-4AE0-B8F9-A52D0505C59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729057305336833"/>
                  <c:y val="-1.97404491105278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11-4AE0-B8F9-A52D0505C59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IMDERA'!$E$14:$E$16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'4.4 IMDERA'!$G$14:$G$16</c:f>
              <c:numCache>
                <c:formatCode>0.00%</c:formatCode>
                <c:ptCount val="3"/>
                <c:pt idx="0">
                  <c:v>0.63636363636363635</c:v>
                </c:pt>
                <c:pt idx="1">
                  <c:v>0.27272727272727271</c:v>
                </c:pt>
                <c:pt idx="2">
                  <c:v>9.0909090909090912E-2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11-4AE0-B8F9-A52D0505C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83842794759825"/>
          <c:y val="0.87748344370860931"/>
          <c:w val="0.68122270742358082"/>
          <c:h val="9.93377483443708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989263523368249"/>
          <c:y val="0.13333333333333333"/>
          <c:w val="0.78517074670315756"/>
          <c:h val="0.758637235919280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8B-4A4B-A555-A57FD8AEEC6B}"/>
              </c:ext>
            </c:extLst>
          </c:dPt>
          <c:dLbls>
            <c:dLbl>
              <c:idx val="0"/>
              <c:layout>
                <c:manualLayout>
                  <c:x val="-5.0755277349900832E-2"/>
                  <c:y val="-0.21955399133741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8B-4A4B-A555-A57FD8AEEC6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586097659471952E-2"/>
                  <c:y val="-0.10520295418251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8B-4A4B-A555-A57FD8AEEC6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'4.4 IMDERA'!$E$20:$F$20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'4.4 IMDERA'!$E$21:$F$21</c:f>
              <c:numCache>
                <c:formatCode>"$"\ #,##0</c:formatCode>
                <c:ptCount val="2"/>
                <c:pt idx="0">
                  <c:v>4316831118.4800005</c:v>
                </c:pt>
                <c:pt idx="1">
                  <c:v>2852091244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B-4A4B-A555-A57FD8AE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096776"/>
        <c:axId val="306097168"/>
        <c:axId val="0"/>
      </c:bar3DChart>
      <c:catAx>
        <c:axId val="30609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306097168"/>
        <c:crosses val="autoZero"/>
        <c:auto val="1"/>
        <c:lblAlgn val="ctr"/>
        <c:lblOffset val="100"/>
        <c:noMultiLvlLbl val="0"/>
      </c:catAx>
      <c:valAx>
        <c:axId val="306097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06096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456126234228407"/>
          <c:y val="0.13926443550595297"/>
          <c:w val="0.81625189850908686"/>
          <c:h val="0.782097739877045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'4.5 EPA'!$E$73:$F$73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41-4F18-A3E8-55A65F94F113}"/>
              </c:ext>
            </c:extLst>
          </c:dPt>
          <c:dLbls>
            <c:dLbl>
              <c:idx val="0"/>
              <c:layout>
                <c:manualLayout>
                  <c:x val="5.3467176634967556E-2"/>
                  <c:y val="-0.43029202081582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41-4F18-A3E8-55A65F94F113}"/>
                </c:ext>
                <c:ext xmlns:c15="http://schemas.microsoft.com/office/drawing/2012/chart" uri="{CE6537A1-D6FC-4f65-9D91-7224C49458BB}">
                  <c15:layout>
                    <c:manualLayout>
                      <c:w val="0.21702490199572344"/>
                      <c:h val="7.433251433251433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3831490546587442E-2"/>
                  <c:y val="-0.15955675886199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41-4F18-A3E8-55A65F94F11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 EPA'!$E$73:$F$73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'4.5 EPA'!$E$74:$F$74</c:f>
              <c:numCache>
                <c:formatCode>"$"\ #,##0.00</c:formatCode>
                <c:ptCount val="2"/>
                <c:pt idx="0">
                  <c:v>30381253644.290001</c:v>
                </c:pt>
                <c:pt idx="1">
                  <c:v>17119167024.470003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41-4F18-A3E8-55A65F94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709048"/>
        <c:axId val="233709440"/>
        <c:axId val="0"/>
      </c:bar3DChart>
      <c:catAx>
        <c:axId val="23370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33709440"/>
        <c:crosses val="autoZero"/>
        <c:auto val="1"/>
        <c:lblAlgn val="ctr"/>
        <c:lblOffset val="100"/>
        <c:noMultiLvlLbl val="0"/>
      </c:catAx>
      <c:valAx>
        <c:axId val="233709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33709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EMPRESAS PÚBLICAS DE ARMENIA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92-4D85-A58F-D17001C950A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92-4D85-A58F-D17001C950A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92-4D85-A58F-D17001C950AB}"/>
              </c:ext>
            </c:extLst>
          </c:dPt>
          <c:dLbls>
            <c:dLbl>
              <c:idx val="0"/>
              <c:layout>
                <c:manualLayout>
                  <c:x val="-8.3634834022329324E-3"/>
                  <c:y val="-0.126356930928815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92-4D85-A58F-D17001C950A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9631626266521113"/>
                  <c:y val="-3.21065961993051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92-4D85-A58F-D17001C950A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370188101487313E-2"/>
                  <c:y val="-4.88476961213181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F92-4D85-A58F-D17001C950A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'4.5 EPA'!$E$67:$E$69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'4.5 EPA'!$G$67:$G$69</c:f>
              <c:numCache>
                <c:formatCode>0.00%</c:formatCode>
                <c:ptCount val="3"/>
                <c:pt idx="0">
                  <c:v>0.30656934306569344</c:v>
                </c:pt>
                <c:pt idx="1">
                  <c:v>0.33576642335766421</c:v>
                </c:pt>
                <c:pt idx="2">
                  <c:v>0.35766423357664234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92-4D85-A58F-D17001C9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9478378309509"/>
          <c:y val="0.87500014421274264"/>
          <c:w val="0.57763201929855856"/>
          <c:h val="0.118181765740820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AMABLE</a:t>
            </a:r>
          </a:p>
        </c:rich>
      </c:tx>
      <c:layout>
        <c:manualLayout>
          <c:xMode val="edge"/>
          <c:yMode val="edge"/>
          <c:x val="0.42236904704630862"/>
          <c:y val="3.505895096446277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'4.6 AMABLE'!$E$19:$E$21</c:f>
              <c:strCache>
                <c:ptCount val="3"/>
                <c:pt idx="0">
                  <c:v>76-100%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19-478D-86FC-1DBE7849DDB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19-478D-86FC-1DBE7849DDB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19-478D-86FC-1DBE7849DD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19-478D-86FC-1DBE7849DDBE}"/>
              </c:ext>
            </c:extLst>
          </c:dPt>
          <c:dLbls>
            <c:dLbl>
              <c:idx val="0"/>
              <c:layout>
                <c:manualLayout>
                  <c:x val="2.8899111281349813E-2"/>
                  <c:y val="-0.1082605884790716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78D-86FC-1DBE7849DD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67902449693788E-2"/>
                  <c:y val="2.41601049868766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19-478D-86FC-1DBE7849DD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315551181102363"/>
                  <c:y val="-7.88123359580052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19-478D-86FC-1DBE7849DDB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'4.6 AMABLE'!$E$19:$E$21</c:f>
              <c:strCache>
                <c:ptCount val="3"/>
                <c:pt idx="0">
                  <c:v>76-100%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'4.6 AMABLE'!$G$19:$G$21</c:f>
              <c:numCache>
                <c:formatCode>0.00%</c:formatCode>
                <c:ptCount val="3"/>
                <c:pt idx="0">
                  <c:v>0.44444444444444442</c:v>
                </c:pt>
                <c:pt idx="1">
                  <c:v>0.1111111111111111</c:v>
                </c:pt>
                <c:pt idx="2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B19-478D-86FC-1DBE7849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263839795190194E-2"/>
          <c:y val="0.89735082892785023"/>
          <c:w val="0.8049857304954785"/>
          <c:h val="0.102649261865522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31-4F09-9EB2-CE35D9B47DF8}"/>
              </c:ext>
            </c:extLst>
          </c:dPt>
          <c:dLbls>
            <c:dLbl>
              <c:idx val="0"/>
              <c:layout>
                <c:manualLayout>
                  <c:x val="7.420169723554719E-2"/>
                  <c:y val="-0.4048490262717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4727649520287573"/>
                      <c:h val="7.412825570653935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7.3277352073556887E-2"/>
                  <c:y val="-0.26335099652276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2550890776254254"/>
                      <c:h val="0.1014386657036854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NIVEL CENTRAL '!$E$41:$F$41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NIVEL CENTRAL '!$E$42:$F$42</c:f>
              <c:numCache>
                <c:formatCode>[$$-240A]\ #,##0.00</c:formatCode>
                <c:ptCount val="2"/>
                <c:pt idx="0">
                  <c:v>455928780637.65002</c:v>
                </c:pt>
                <c:pt idx="1">
                  <c:v>279850316340.32001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31-4F09-9EB2-CE35D9B4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14272"/>
        <c:axId val="234614664"/>
        <c:axId val="0"/>
      </c:bar3DChart>
      <c:catAx>
        <c:axId val="2346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34614664"/>
        <c:crosses val="autoZero"/>
        <c:auto val="1"/>
        <c:lblAlgn val="ctr"/>
        <c:lblOffset val="100"/>
        <c:noMultiLvlLbl val="0"/>
      </c:catAx>
      <c:valAx>
        <c:axId val="234614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3461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>
        <c:manualLayout>
          <c:xMode val="edge"/>
          <c:yMode val="edge"/>
          <c:x val="0.39023496619905595"/>
          <c:y val="1.536098310291858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959027577364178"/>
          <c:y val="0.17780086767504577"/>
          <c:w val="0.72277004340788786"/>
          <c:h val="0.7364638183113708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E4-4558-BD19-B4A27EC6D370}"/>
              </c:ext>
            </c:extLst>
          </c:dPt>
          <c:dLbls>
            <c:dLbl>
              <c:idx val="0"/>
              <c:layout>
                <c:manualLayout>
                  <c:x val="-3.215250768495196E-2"/>
                  <c:y val="-0.24155137741252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670215780549555"/>
                      <c:h val="0.1039633447880870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5925830564384043E-3"/>
                  <c:y val="-0.21390661218894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834338354797706"/>
                      <c:h val="0.1085452462772050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 AMABLE'!$E$25:$F$25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'4.6 AMABLE'!$E$26:$F$26</c:f>
              <c:numCache>
                <c:formatCode>"$"\ #,##0.00</c:formatCode>
                <c:ptCount val="2"/>
                <c:pt idx="0">
                  <c:v>41958153041.43</c:v>
                </c:pt>
                <c:pt idx="1">
                  <c:v>12758083392.65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E4-4558-BD19-B4A27EC6D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711008"/>
        <c:axId val="233711400"/>
        <c:axId val="0"/>
      </c:bar3DChart>
      <c:catAx>
        <c:axId val="23371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33711400"/>
        <c:crosses val="autoZero"/>
        <c:auto val="1"/>
        <c:lblAlgn val="ctr"/>
        <c:lblOffset val="100"/>
        <c:noMultiLvlLbl val="0"/>
      </c:catAx>
      <c:valAx>
        <c:axId val="2337114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3371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55-40BA-951D-DFEFDBB63EAF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55-40BA-951D-DFEFDBB63E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55-40BA-951D-DFEFDBB63EA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'4.7 REDSALUD'!$E$16:$F$16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'4.7 REDSALUD'!$E$17:$F$17</c:f>
              <c:numCache>
                <c:formatCode>"$"\ #,##0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55-40BA-951D-DFEFDBB6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711792"/>
        <c:axId val="233712184"/>
        <c:axId val="0"/>
      </c:bar3DChart>
      <c:catAx>
        <c:axId val="23371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3712184"/>
        <c:crosses val="autoZero"/>
        <c:auto val="1"/>
        <c:lblAlgn val="ctr"/>
        <c:lblOffset val="100"/>
        <c:noMultiLvlLbl val="0"/>
      </c:catAx>
      <c:valAx>
        <c:axId val="233712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371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RED</a:t>
            </a:r>
            <a:r>
              <a:rPr lang="es-CO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SALUD ARMENIA</a:t>
            </a:r>
            <a:endParaRPr lang="es-CO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2B-49C0-A71E-C1391D716F7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FE-4BBB-8F1F-EEB72F9CBEB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AFE-4BBB-8F1F-EEB72F9CB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'4.7 REDSALUD'!$E$10:$E$12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'4.7 REDSALUD'!$F$10:$F$12</c:f>
              <c:numCache>
                <c:formatCode>#,##0</c:formatCode>
                <c:ptCount val="3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E-4BBB-8F1F-EEB72F9CBEB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2B-49C0-A71E-C1391D716F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C2B-49C0-A71E-C1391D716F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C2B-49C0-A71E-C1391D716F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'4.7 REDSALUD'!$E$10:$E$12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'4.7 REDSALUD'!$G$10:$G$12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FE-4BBB-8F1F-EEB72F9CBEB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096638632615659"/>
          <c:y val="4.7232483303596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NIVEL CENTRAL '!$E$32:$G$32</c:f>
              <c:strCache>
                <c:ptCount val="1"/>
                <c:pt idx="0">
                  <c:v>EJECUCIÓN POR ACTIVIDADES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57-4B28-A183-8792D2137D5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57-4B28-A183-8792D2137D5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57-4B28-A183-8792D2137D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NIVEL CENTRAL '!$E$34:$E$36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 CONSOLIDADO NIVEL CENTRAL '!$G$34:$G$36</c:f>
              <c:numCache>
                <c:formatCode>0.00%</c:formatCode>
                <c:ptCount val="3"/>
                <c:pt idx="0">
                  <c:v>0.42517814726840852</c:v>
                </c:pt>
                <c:pt idx="1">
                  <c:v>0.21377672209026127</c:v>
                </c:pt>
                <c:pt idx="2">
                  <c:v>0.36104513064133015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57-4B28-A183-8792D2137D58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75903455357974"/>
          <c:y val="0.88211745330136149"/>
          <c:w val="0.62595379081113878"/>
          <c:h val="9.4266305046840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12-4448-8F4B-2FE48995C427}"/>
              </c:ext>
            </c:extLst>
          </c:dPt>
          <c:dLbls>
            <c:dLbl>
              <c:idx val="0"/>
              <c:layout>
                <c:manualLayout>
                  <c:x val="-0.12618555881577667"/>
                  <c:y val="-0.20077588434869167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12-4448-8F4B-2FE48995C42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0514531990288"/>
                  <c:y val="-0.11348202158839096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12-4448-8F4B-2FE48995C42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'1.DESPACHO'!$E$21:$F$21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'1.DESPACHO'!$E$22:$F$22</c:f>
              <c:numCache>
                <c:formatCode>[$$-240A]\ #,##0.00</c:formatCode>
                <c:ptCount val="2"/>
                <c:pt idx="0">
                  <c:v>2317073937</c:v>
                </c:pt>
                <c:pt idx="1">
                  <c:v>1728162948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12-4448-8F4B-2FE48995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gapDepth val="184"/>
        <c:shape val="box"/>
        <c:axId val="234613096"/>
        <c:axId val="234615448"/>
        <c:axId val="0"/>
      </c:bar3DChart>
      <c:catAx>
        <c:axId val="23461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4615448"/>
        <c:crosses val="autoZero"/>
        <c:auto val="1"/>
        <c:lblAlgn val="ctr"/>
        <c:lblOffset val="100"/>
        <c:noMultiLvlLbl val="0"/>
      </c:catAx>
      <c:valAx>
        <c:axId val="234615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in"/>
        <c:minorTickMark val="in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4613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DESPACHO DEL ALCALDE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2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08-4A56-B783-A9C141DD1A0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08-4A56-B783-A9C141DD1A0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08-4A56-B783-A9C141DD1A0F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08-4A56-B783-A9C141DD1A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7710083114610723E-2"/>
                  <c:y val="-6.87882764654418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08-4A56-B783-A9C141DD1A0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'1.DESPACHO'!$E$15:$E$17</c:f>
              <c:strCache>
                <c:ptCount val="3"/>
                <c:pt idx="0">
                  <c:v>75%-100%</c:v>
                </c:pt>
                <c:pt idx="1">
                  <c:v>51%-74%</c:v>
                </c:pt>
                <c:pt idx="2">
                  <c:v>0%-50%</c:v>
                </c:pt>
              </c:strCache>
            </c:strRef>
          </c:cat>
          <c:val>
            <c:numRef>
              <c:f>'1.DESPACHO'!$G$15:$G$17</c:f>
              <c:numCache>
                <c:formatCode>0.00%</c:formatCode>
                <c:ptCount val="3"/>
                <c:pt idx="0">
                  <c:v>0.75862068965517238</c:v>
                </c:pt>
                <c:pt idx="1">
                  <c:v>0.17241379310344829</c:v>
                </c:pt>
                <c:pt idx="2">
                  <c:v>6.8965517241379309E-2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08-4A56-B783-A9C141DD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173935866712313"/>
          <c:y val="0.90851735015772872"/>
          <c:w val="0.53043523907337664"/>
          <c:h val="8.2018927444794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SECRETARÍA DE GOBIERNO Y CONVIVENCIA</a:t>
            </a:r>
          </a:p>
        </c:rich>
      </c:tx>
      <c:layout>
        <c:manualLayout>
          <c:xMode val="edge"/>
          <c:yMode val="edge"/>
          <c:x val="0.13535179070358141"/>
          <c:y val="4.035874439461883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01-495C-B0EC-FB6B3C38156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01-495C-B0EC-FB6B3C38156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01-495C-B0EC-FB6B3C38156F}"/>
              </c:ext>
            </c:extLst>
          </c:dPt>
          <c:dLbls>
            <c:dLbl>
              <c:idx val="0"/>
              <c:layout>
                <c:manualLayout>
                  <c:x val="6.0657399496617172E-2"/>
                  <c:y val="-0.115746619116556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01-495C-B0EC-FB6B3C3815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35161854768154"/>
                  <c:y val="3.678186060075823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01-495C-B0EC-FB6B3C3815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925645231846019"/>
                  <c:y val="-1.120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01-495C-B0EC-FB6B3C38156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 GOBIERNO Y CONVIVENCIA'!$E$23:$E$25</c:f>
              <c:strCache>
                <c:ptCount val="3"/>
                <c:pt idx="0">
                  <c:v>76%-100%</c:v>
                </c:pt>
                <c:pt idx="1">
                  <c:v>51%-75%</c:v>
                </c:pt>
                <c:pt idx="2">
                  <c:v>0%-50%</c:v>
                </c:pt>
              </c:strCache>
            </c:strRef>
          </c:cat>
          <c:val>
            <c:numRef>
              <c:f>'2.1 GOBIERNO Y CONVIVENCIA'!$G$23:$G$25</c:f>
              <c:numCache>
                <c:formatCode>0.00%</c:formatCode>
                <c:ptCount val="3"/>
                <c:pt idx="0">
                  <c:v>0.5625</c:v>
                </c:pt>
                <c:pt idx="1">
                  <c:v>0.16666666666666666</c:v>
                </c:pt>
                <c:pt idx="2">
                  <c:v>0.27083333333333331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01-495C-B0EC-FB6B3C38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9721350190703"/>
          <c:y val="0.8797279721478114"/>
          <c:w val="0.58170049005312252"/>
          <c:h val="9.622029205112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3.xml"/><Relationship Id="rId1" Type="http://schemas.openxmlformats.org/officeDocument/2006/relationships/image" Target="../media/image1.jpeg"/><Relationship Id="rId5" Type="http://schemas.openxmlformats.org/officeDocument/2006/relationships/chart" Target="../charts/chart24.xml"/><Relationship Id="rId4" Type="http://schemas.openxmlformats.org/officeDocument/2006/relationships/image" Target="../media/image1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jpeg"/><Relationship Id="rId5" Type="http://schemas.openxmlformats.org/officeDocument/2006/relationships/image" Target="../media/image15.png"/><Relationship Id="rId4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jpeg"/><Relationship Id="rId5" Type="http://schemas.openxmlformats.org/officeDocument/2006/relationships/image" Target="../media/image16.png"/><Relationship Id="rId4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jpeg"/><Relationship Id="rId5" Type="http://schemas.openxmlformats.org/officeDocument/2006/relationships/image" Target="../media/image17.png"/><Relationship Id="rId4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6" Type="http://schemas.openxmlformats.org/officeDocument/2006/relationships/chart" Target="../charts/chart6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.jpeg"/><Relationship Id="rId1" Type="http://schemas.openxmlformats.org/officeDocument/2006/relationships/chart" Target="../charts/chart47.xml"/><Relationship Id="rId4" Type="http://schemas.openxmlformats.org/officeDocument/2006/relationships/chart" Target="../charts/chart4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image" Target="../media/image18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chart" Target="../charts/chart51.xml"/><Relationship Id="rId4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2062394" name="3 Imagen" descr="logo.jpg">
          <a:extLst>
            <a:ext uri="{FF2B5EF4-FFF2-40B4-BE49-F238E27FC236}">
              <a16:creationId xmlns:a16="http://schemas.microsoft.com/office/drawing/2014/main" xmlns="" id="{00000000-0008-0000-0000-00003A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29</xdr:row>
      <xdr:rowOff>83343</xdr:rowOff>
    </xdr:from>
    <xdr:to>
      <xdr:col>2</xdr:col>
      <xdr:colOff>762000</xdr:colOff>
      <xdr:row>44</xdr:row>
      <xdr:rowOff>71437</xdr:rowOff>
    </xdr:to>
    <xdr:graphicFrame macro="">
      <xdr:nvGraphicFramePr>
        <xdr:cNvPr id="22062395" name="Gráfico 1">
          <a:extLst>
            <a:ext uri="{FF2B5EF4-FFF2-40B4-BE49-F238E27FC236}">
              <a16:creationId xmlns:a16="http://schemas.microsoft.com/office/drawing/2014/main" xmlns="" id="{00000000-0008-0000-0000-00003B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59531</xdr:colOff>
      <xdr:row>50</xdr:row>
      <xdr:rowOff>19050</xdr:rowOff>
    </xdr:from>
    <xdr:to>
      <xdr:col>6</xdr:col>
      <xdr:colOff>1315243</xdr:colOff>
      <xdr:row>65</xdr:row>
      <xdr:rowOff>59531</xdr:rowOff>
    </xdr:to>
    <xdr:graphicFrame macro="">
      <xdr:nvGraphicFramePr>
        <xdr:cNvPr id="22062396" name="Gráfico 2">
          <a:extLst>
            <a:ext uri="{FF2B5EF4-FFF2-40B4-BE49-F238E27FC236}">
              <a16:creationId xmlns:a16="http://schemas.microsoft.com/office/drawing/2014/main" xmlns="" id="{00000000-0008-0000-0000-00003C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540543</xdr:colOff>
      <xdr:row>0</xdr:row>
      <xdr:rowOff>107156</xdr:rowOff>
    </xdr:from>
    <xdr:to>
      <xdr:col>1</xdr:col>
      <xdr:colOff>1180623</xdr:colOff>
      <xdr:row>0</xdr:row>
      <xdr:rowOff>846559</xdr:rowOff>
    </xdr:to>
    <xdr:pic>
      <xdr:nvPicPr>
        <xdr:cNvPr id="22062397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000-00003DA5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" y="107156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0</xdr:row>
      <xdr:rowOff>952276</xdr:rowOff>
    </xdr:to>
    <xdr:pic>
      <xdr:nvPicPr>
        <xdr:cNvPr id="22062398" name="Imagen 7">
          <a:extLst>
            <a:ext uri="{FF2B5EF4-FFF2-40B4-BE49-F238E27FC236}">
              <a16:creationId xmlns:a16="http://schemas.microsoft.com/office/drawing/2014/main" xmlns="" id="{00000000-0008-0000-0000-00003E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952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29766</xdr:colOff>
      <xdr:row>46</xdr:row>
      <xdr:rowOff>23812</xdr:rowOff>
    </xdr:from>
    <xdr:to>
      <xdr:col>2</xdr:col>
      <xdr:colOff>714374</xdr:colOff>
      <xdr:row>62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7779" name="3 Imagen" descr="logo.jpg">
          <a:extLst>
            <a:ext uri="{FF2B5EF4-FFF2-40B4-BE49-F238E27FC236}">
              <a16:creationId xmlns:a16="http://schemas.microsoft.com/office/drawing/2014/main" xmlns="" id="{00000000-0008-0000-0900-000043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21</xdr:row>
      <xdr:rowOff>57150</xdr:rowOff>
    </xdr:from>
    <xdr:to>
      <xdr:col>7</xdr:col>
      <xdr:colOff>0</xdr:colOff>
      <xdr:row>37</xdr:row>
      <xdr:rowOff>57150</xdr:rowOff>
    </xdr:to>
    <xdr:graphicFrame macro="">
      <xdr:nvGraphicFramePr>
        <xdr:cNvPr id="19507780" name="Gráfico 2">
          <a:extLst>
            <a:ext uri="{FF2B5EF4-FFF2-40B4-BE49-F238E27FC236}">
              <a16:creationId xmlns:a16="http://schemas.microsoft.com/office/drawing/2014/main" xmlns="" id="{00000000-0008-0000-0900-000044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10</xdr:row>
      <xdr:rowOff>104775</xdr:rowOff>
    </xdr:from>
    <xdr:to>
      <xdr:col>2</xdr:col>
      <xdr:colOff>704850</xdr:colOff>
      <xdr:row>25</xdr:row>
      <xdr:rowOff>9525</xdr:rowOff>
    </xdr:to>
    <xdr:graphicFrame macro="">
      <xdr:nvGraphicFramePr>
        <xdr:cNvPr id="19507781" name="Gráfico 3">
          <a:extLst>
            <a:ext uri="{FF2B5EF4-FFF2-40B4-BE49-F238E27FC236}">
              <a16:creationId xmlns:a16="http://schemas.microsoft.com/office/drawing/2014/main" xmlns="" id="{00000000-0008-0000-0900-000045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507782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900-000046A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1259205</xdr:colOff>
      <xdr:row>0</xdr:row>
      <xdr:rowOff>862507</xdr:rowOff>
    </xdr:to>
    <xdr:pic>
      <xdr:nvPicPr>
        <xdr:cNvPr id="19507783" name="Imagen 7">
          <a:extLst>
            <a:ext uri="{FF2B5EF4-FFF2-40B4-BE49-F238E27FC236}">
              <a16:creationId xmlns:a16="http://schemas.microsoft.com/office/drawing/2014/main" xmlns="" id="{00000000-0008-0000-0900-000047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2147" name="3 Imagen" descr="logo.jpg">
          <a:extLst>
            <a:ext uri="{FF2B5EF4-FFF2-40B4-BE49-F238E27FC236}">
              <a16:creationId xmlns:a16="http://schemas.microsoft.com/office/drawing/2014/main" xmlns="" id="{00000000-0008-0000-0A00-000033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22</xdr:row>
      <xdr:rowOff>114299</xdr:rowOff>
    </xdr:from>
    <xdr:to>
      <xdr:col>6</xdr:col>
      <xdr:colOff>1343025</xdr:colOff>
      <xdr:row>41</xdr:row>
      <xdr:rowOff>142874</xdr:rowOff>
    </xdr:to>
    <xdr:graphicFrame macro="">
      <xdr:nvGraphicFramePr>
        <xdr:cNvPr id="19652148" name="Gráfico 2">
          <a:extLst>
            <a:ext uri="{FF2B5EF4-FFF2-40B4-BE49-F238E27FC236}">
              <a16:creationId xmlns:a16="http://schemas.microsoft.com/office/drawing/2014/main" xmlns="" id="{00000000-0008-0000-0A00-000034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619125</xdr:colOff>
      <xdr:row>0</xdr:row>
      <xdr:rowOff>57150</xdr:rowOff>
    </xdr:from>
    <xdr:to>
      <xdr:col>1</xdr:col>
      <xdr:colOff>1259205</xdr:colOff>
      <xdr:row>0</xdr:row>
      <xdr:rowOff>796553</xdr:rowOff>
    </xdr:to>
    <xdr:pic>
      <xdr:nvPicPr>
        <xdr:cNvPr id="19652149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A00-000035D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71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28575</xdr:rowOff>
    </xdr:from>
    <xdr:to>
      <xdr:col>6</xdr:col>
      <xdr:colOff>1268730</xdr:colOff>
      <xdr:row>0</xdr:row>
      <xdr:rowOff>862507</xdr:rowOff>
    </xdr:to>
    <xdr:pic>
      <xdr:nvPicPr>
        <xdr:cNvPr id="19652150" name="Imagen 7">
          <a:extLst>
            <a:ext uri="{FF2B5EF4-FFF2-40B4-BE49-F238E27FC236}">
              <a16:creationId xmlns:a16="http://schemas.microsoft.com/office/drawing/2014/main" xmlns="" id="{00000000-0008-0000-0A00-000036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</xdr:row>
      <xdr:rowOff>47625</xdr:rowOff>
    </xdr:from>
    <xdr:to>
      <xdr:col>2</xdr:col>
      <xdr:colOff>800100</xdr:colOff>
      <xdr:row>26</xdr:row>
      <xdr:rowOff>97630</xdr:rowOff>
    </xdr:to>
    <xdr:graphicFrame macro="">
      <xdr:nvGraphicFramePr>
        <xdr:cNvPr id="19652151" name="Gráfico 3">
          <a:extLst>
            <a:ext uri="{FF2B5EF4-FFF2-40B4-BE49-F238E27FC236}">
              <a16:creationId xmlns:a16="http://schemas.microsoft.com/office/drawing/2014/main" xmlns="" id="{00000000-0008-0000-0A00-000037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8293" name="3 Imagen" descr="logo.jpg">
          <a:extLst>
            <a:ext uri="{FF2B5EF4-FFF2-40B4-BE49-F238E27FC236}">
              <a16:creationId xmlns:a16="http://schemas.microsoft.com/office/drawing/2014/main" xmlns="" id="{00000000-0008-0000-0D00-000035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57151</xdr:colOff>
      <xdr:row>20</xdr:row>
      <xdr:rowOff>114300</xdr:rowOff>
    </xdr:from>
    <xdr:to>
      <xdr:col>6</xdr:col>
      <xdr:colOff>1333500</xdr:colOff>
      <xdr:row>35</xdr:row>
      <xdr:rowOff>38100</xdr:rowOff>
    </xdr:to>
    <xdr:graphicFrame macro="">
      <xdr:nvGraphicFramePr>
        <xdr:cNvPr id="19658294" name="Gráfico 2">
          <a:extLst>
            <a:ext uri="{FF2B5EF4-FFF2-40B4-BE49-F238E27FC236}">
              <a16:creationId xmlns:a16="http://schemas.microsoft.com/office/drawing/2014/main" xmlns="" id="{00000000-0008-0000-0D00-000036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9</xdr:row>
      <xdr:rowOff>219075</xdr:rowOff>
    </xdr:from>
    <xdr:to>
      <xdr:col>2</xdr:col>
      <xdr:colOff>676275</xdr:colOff>
      <xdr:row>24</xdr:row>
      <xdr:rowOff>0</xdr:rowOff>
    </xdr:to>
    <xdr:graphicFrame macro="">
      <xdr:nvGraphicFramePr>
        <xdr:cNvPr id="19658295" name="Gráfico 3">
          <a:extLst>
            <a:ext uri="{FF2B5EF4-FFF2-40B4-BE49-F238E27FC236}">
              <a16:creationId xmlns:a16="http://schemas.microsoft.com/office/drawing/2014/main" xmlns="" id="{00000000-0008-0000-0D00-000037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66675</xdr:rowOff>
    </xdr:from>
    <xdr:to>
      <xdr:col>1</xdr:col>
      <xdr:colOff>1459230</xdr:colOff>
      <xdr:row>0</xdr:row>
      <xdr:rowOff>806078</xdr:rowOff>
    </xdr:to>
    <xdr:pic>
      <xdr:nvPicPr>
        <xdr:cNvPr id="19658296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D00-000038F6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257174</xdr:colOff>
      <xdr:row>0</xdr:row>
      <xdr:rowOff>19050</xdr:rowOff>
    </xdr:from>
    <xdr:to>
      <xdr:col>6</xdr:col>
      <xdr:colOff>1268729</xdr:colOff>
      <xdr:row>0</xdr:row>
      <xdr:rowOff>831322</xdr:rowOff>
    </xdr:to>
    <xdr:pic>
      <xdr:nvPicPr>
        <xdr:cNvPr id="19658297" name="Imagen 7">
          <a:extLst>
            <a:ext uri="{FF2B5EF4-FFF2-40B4-BE49-F238E27FC236}">
              <a16:creationId xmlns:a16="http://schemas.microsoft.com/office/drawing/2014/main" xmlns="" id="{00000000-0008-0000-0D00-000039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399" y="19050"/>
          <a:ext cx="1011555" cy="81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5629" name="3 Imagen" descr="logo.jpg">
          <a:extLst>
            <a:ext uri="{FF2B5EF4-FFF2-40B4-BE49-F238E27FC236}">
              <a16:creationId xmlns:a16="http://schemas.microsoft.com/office/drawing/2014/main" xmlns="" id="{00000000-0008-0000-0B00-00004D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395287</xdr:colOff>
      <xdr:row>20</xdr:row>
      <xdr:rowOff>178594</xdr:rowOff>
    </xdr:from>
    <xdr:to>
      <xdr:col>6</xdr:col>
      <xdr:colOff>1126331</xdr:colOff>
      <xdr:row>36</xdr:row>
      <xdr:rowOff>159544</xdr:rowOff>
    </xdr:to>
    <xdr:graphicFrame macro="">
      <xdr:nvGraphicFramePr>
        <xdr:cNvPr id="19415630" name="Gráfico 3">
          <a:extLst>
            <a:ext uri="{FF2B5EF4-FFF2-40B4-BE49-F238E27FC236}">
              <a16:creationId xmlns:a16="http://schemas.microsoft.com/office/drawing/2014/main" xmlns="" id="{00000000-0008-0000-0B00-00004E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9</xdr:row>
      <xdr:rowOff>0</xdr:rowOff>
    </xdr:from>
    <xdr:to>
      <xdr:col>2</xdr:col>
      <xdr:colOff>752475</xdr:colOff>
      <xdr:row>24</xdr:row>
      <xdr:rowOff>0</xdr:rowOff>
    </xdr:to>
    <xdr:graphicFrame macro="">
      <xdr:nvGraphicFramePr>
        <xdr:cNvPr id="19415631" name="Gráfico 4">
          <a:extLst>
            <a:ext uri="{FF2B5EF4-FFF2-40B4-BE49-F238E27FC236}">
              <a16:creationId xmlns:a16="http://schemas.microsoft.com/office/drawing/2014/main" xmlns="" id="{00000000-0008-0000-0B00-00004F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781050</xdr:colOff>
      <xdr:row>0</xdr:row>
      <xdr:rowOff>66675</xdr:rowOff>
    </xdr:from>
    <xdr:to>
      <xdr:col>1</xdr:col>
      <xdr:colOff>1421130</xdr:colOff>
      <xdr:row>0</xdr:row>
      <xdr:rowOff>806078</xdr:rowOff>
    </xdr:to>
    <xdr:pic>
      <xdr:nvPicPr>
        <xdr:cNvPr id="19415632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B00-0000504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180974</xdr:colOff>
      <xdr:row>0</xdr:row>
      <xdr:rowOff>19050</xdr:rowOff>
    </xdr:from>
    <xdr:to>
      <xdr:col>6</xdr:col>
      <xdr:colOff>1278254</xdr:colOff>
      <xdr:row>0</xdr:row>
      <xdr:rowOff>827240</xdr:rowOff>
    </xdr:to>
    <xdr:pic>
      <xdr:nvPicPr>
        <xdr:cNvPr id="19415633" name="Imagen 7">
          <a:extLst>
            <a:ext uri="{FF2B5EF4-FFF2-40B4-BE49-F238E27FC236}">
              <a16:creationId xmlns:a16="http://schemas.microsoft.com/office/drawing/2014/main" xmlns="" id="{00000000-0008-0000-0B00-000051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99" y="19050"/>
          <a:ext cx="1097280" cy="8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9724" name="3 Imagen" descr="logo.jpg">
          <a:extLst>
            <a:ext uri="{FF2B5EF4-FFF2-40B4-BE49-F238E27FC236}">
              <a16:creationId xmlns:a16="http://schemas.microsoft.com/office/drawing/2014/main" xmlns="" id="{00000000-0008-0000-0C00-00004C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19</xdr:row>
      <xdr:rowOff>38099</xdr:rowOff>
    </xdr:from>
    <xdr:to>
      <xdr:col>6</xdr:col>
      <xdr:colOff>1343025</xdr:colOff>
      <xdr:row>34</xdr:row>
      <xdr:rowOff>9524</xdr:rowOff>
    </xdr:to>
    <xdr:graphicFrame macro="">
      <xdr:nvGraphicFramePr>
        <xdr:cNvPr id="19419725" name="Gráfico 2">
          <a:extLst>
            <a:ext uri="{FF2B5EF4-FFF2-40B4-BE49-F238E27FC236}">
              <a16:creationId xmlns:a16="http://schemas.microsoft.com/office/drawing/2014/main" xmlns="" id="{00000000-0008-0000-0C00-00004D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10</xdr:row>
      <xdr:rowOff>28575</xdr:rowOff>
    </xdr:from>
    <xdr:to>
      <xdr:col>2</xdr:col>
      <xdr:colOff>666750</xdr:colOff>
      <xdr:row>26</xdr:row>
      <xdr:rowOff>9525</xdr:rowOff>
    </xdr:to>
    <xdr:graphicFrame macro="">
      <xdr:nvGraphicFramePr>
        <xdr:cNvPr id="19419726" name="Gráfico 4">
          <a:extLst>
            <a:ext uri="{FF2B5EF4-FFF2-40B4-BE49-F238E27FC236}">
              <a16:creationId xmlns:a16="http://schemas.microsoft.com/office/drawing/2014/main" xmlns="" id="{00000000-0008-0000-0C00-00004E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76200</xdr:rowOff>
    </xdr:from>
    <xdr:to>
      <xdr:col>1</xdr:col>
      <xdr:colOff>1402080</xdr:colOff>
      <xdr:row>0</xdr:row>
      <xdr:rowOff>815603</xdr:rowOff>
    </xdr:to>
    <xdr:pic>
      <xdr:nvPicPr>
        <xdr:cNvPr id="19419727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C00-00004F5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28575</xdr:rowOff>
    </xdr:from>
    <xdr:to>
      <xdr:col>6</xdr:col>
      <xdr:colOff>1259204</xdr:colOff>
      <xdr:row>0</xdr:row>
      <xdr:rowOff>862507</xdr:rowOff>
    </xdr:to>
    <xdr:pic>
      <xdr:nvPicPr>
        <xdr:cNvPr id="19419728" name="Imagen 7">
          <a:extLst>
            <a:ext uri="{FF2B5EF4-FFF2-40B4-BE49-F238E27FC236}">
              <a16:creationId xmlns:a16="http://schemas.microsoft.com/office/drawing/2014/main" xmlns="" id="{00000000-0008-0000-0C00-000050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28575"/>
          <a:ext cx="1011555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58631" name="3 Imagen" descr="logo.jpg">
          <a:extLst>
            <a:ext uri="{FF2B5EF4-FFF2-40B4-BE49-F238E27FC236}">
              <a16:creationId xmlns:a16="http://schemas.microsoft.com/office/drawing/2014/main" xmlns="" id="{00000000-0008-0000-0E00-000027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81491</xdr:colOff>
      <xdr:row>10</xdr:row>
      <xdr:rowOff>31750</xdr:rowOff>
    </xdr:from>
    <xdr:to>
      <xdr:col>2</xdr:col>
      <xdr:colOff>910166</xdr:colOff>
      <xdr:row>26</xdr:row>
      <xdr:rowOff>164042</xdr:rowOff>
    </xdr:to>
    <xdr:graphicFrame macro="">
      <xdr:nvGraphicFramePr>
        <xdr:cNvPr id="19758632" name="Gráfico 1">
          <a:extLst>
            <a:ext uri="{FF2B5EF4-FFF2-40B4-BE49-F238E27FC236}">
              <a16:creationId xmlns:a16="http://schemas.microsoft.com/office/drawing/2014/main" xmlns="" id="{00000000-0008-0000-0E00-000028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428625</xdr:colOff>
      <xdr:row>21</xdr:row>
      <xdr:rowOff>161925</xdr:rowOff>
    </xdr:from>
    <xdr:to>
      <xdr:col>6</xdr:col>
      <xdr:colOff>1304925</xdr:colOff>
      <xdr:row>37</xdr:row>
      <xdr:rowOff>85725</xdr:rowOff>
    </xdr:to>
    <xdr:graphicFrame macro="">
      <xdr:nvGraphicFramePr>
        <xdr:cNvPr id="19758633" name="Gráfico 2">
          <a:extLst>
            <a:ext uri="{FF2B5EF4-FFF2-40B4-BE49-F238E27FC236}">
              <a16:creationId xmlns:a16="http://schemas.microsoft.com/office/drawing/2014/main" xmlns="" id="{00000000-0008-0000-0E00-000029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758634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E00-00002A7E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0</xdr:row>
      <xdr:rowOff>28575</xdr:rowOff>
    </xdr:from>
    <xdr:to>
      <xdr:col>6</xdr:col>
      <xdr:colOff>1259204</xdr:colOff>
      <xdr:row>0</xdr:row>
      <xdr:rowOff>854251</xdr:rowOff>
    </xdr:to>
    <xdr:pic>
      <xdr:nvPicPr>
        <xdr:cNvPr id="19758635" name="Imagen 7">
          <a:extLst>
            <a:ext uri="{FF2B5EF4-FFF2-40B4-BE49-F238E27FC236}">
              <a16:creationId xmlns:a16="http://schemas.microsoft.com/office/drawing/2014/main" xmlns="" id="{00000000-0008-0000-0E00-00002B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8575"/>
          <a:ext cx="1011554" cy="825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7070926" name="3 Imagen" descr="logo.jpg">
          <a:extLst>
            <a:ext uri="{FF2B5EF4-FFF2-40B4-BE49-F238E27FC236}">
              <a16:creationId xmlns:a16="http://schemas.microsoft.com/office/drawing/2014/main" xmlns="" id="{00000000-0008-0000-0F00-00004E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532293</xdr:colOff>
      <xdr:row>39</xdr:row>
      <xdr:rowOff>3988</xdr:rowOff>
    </xdr:from>
    <xdr:to>
      <xdr:col>7</xdr:col>
      <xdr:colOff>16171</xdr:colOff>
      <xdr:row>57</xdr:row>
      <xdr:rowOff>165913</xdr:rowOff>
    </xdr:to>
    <xdr:graphicFrame macro="">
      <xdr:nvGraphicFramePr>
        <xdr:cNvPr id="17070927" name="Gráfico 2">
          <a:extLst>
            <a:ext uri="{FF2B5EF4-FFF2-40B4-BE49-F238E27FC236}">
              <a16:creationId xmlns:a16="http://schemas.microsoft.com/office/drawing/2014/main" xmlns="" id="{00000000-0008-0000-0F00-00004F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469900</xdr:colOff>
      <xdr:row>26</xdr:row>
      <xdr:rowOff>159544</xdr:rowOff>
    </xdr:from>
    <xdr:to>
      <xdr:col>2</xdr:col>
      <xdr:colOff>866775</xdr:colOff>
      <xdr:row>42</xdr:row>
      <xdr:rowOff>54769</xdr:rowOff>
    </xdr:to>
    <xdr:graphicFrame macro="">
      <xdr:nvGraphicFramePr>
        <xdr:cNvPr id="17070928" name="Gráfico 3">
          <a:extLst>
            <a:ext uri="{FF2B5EF4-FFF2-40B4-BE49-F238E27FC236}">
              <a16:creationId xmlns:a16="http://schemas.microsoft.com/office/drawing/2014/main" xmlns="" id="{00000000-0008-0000-0F00-000050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583406</xdr:colOff>
      <xdr:row>0</xdr:row>
      <xdr:rowOff>66675</xdr:rowOff>
    </xdr:from>
    <xdr:to>
      <xdr:col>1</xdr:col>
      <xdr:colOff>1223486</xdr:colOff>
      <xdr:row>0</xdr:row>
      <xdr:rowOff>806078</xdr:rowOff>
    </xdr:to>
    <xdr:pic>
      <xdr:nvPicPr>
        <xdr:cNvPr id="17070929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F00-0000517B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247648</xdr:colOff>
      <xdr:row>0</xdr:row>
      <xdr:rowOff>0</xdr:rowOff>
    </xdr:from>
    <xdr:to>
      <xdr:col>6</xdr:col>
      <xdr:colOff>1344928</xdr:colOff>
      <xdr:row>1</xdr:row>
      <xdr:rowOff>24156</xdr:rowOff>
    </xdr:to>
    <xdr:pic>
      <xdr:nvPicPr>
        <xdr:cNvPr id="17070930" name="Imagen 7">
          <a:extLst>
            <a:ext uri="{FF2B5EF4-FFF2-40B4-BE49-F238E27FC236}">
              <a16:creationId xmlns:a16="http://schemas.microsoft.com/office/drawing/2014/main" xmlns="" id="{00000000-0008-0000-0F00-000052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1304" y="0"/>
          <a:ext cx="1097280" cy="905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12559" name="3 Imagen" descr="logo.jpg">
          <a:extLst>
            <a:ext uri="{FF2B5EF4-FFF2-40B4-BE49-F238E27FC236}">
              <a16:creationId xmlns:a16="http://schemas.microsoft.com/office/drawing/2014/main" xmlns="" id="{00000000-0008-0000-1000-00002F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21</xdr:row>
      <xdr:rowOff>38100</xdr:rowOff>
    </xdr:from>
    <xdr:to>
      <xdr:col>6</xdr:col>
      <xdr:colOff>1362075</xdr:colOff>
      <xdr:row>36</xdr:row>
      <xdr:rowOff>47625</xdr:rowOff>
    </xdr:to>
    <xdr:graphicFrame macro="">
      <xdr:nvGraphicFramePr>
        <xdr:cNvPr id="19712560" name="Gráfico 5">
          <a:extLst>
            <a:ext uri="{FF2B5EF4-FFF2-40B4-BE49-F238E27FC236}">
              <a16:creationId xmlns:a16="http://schemas.microsoft.com/office/drawing/2014/main" xmlns="" id="{00000000-0008-0000-1000-000030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12</xdr:row>
      <xdr:rowOff>47625</xdr:rowOff>
    </xdr:from>
    <xdr:to>
      <xdr:col>2</xdr:col>
      <xdr:colOff>638175</xdr:colOff>
      <xdr:row>27</xdr:row>
      <xdr:rowOff>38100</xdr:rowOff>
    </xdr:to>
    <xdr:graphicFrame macro="">
      <xdr:nvGraphicFramePr>
        <xdr:cNvPr id="19712561" name="Gráfico 1">
          <a:extLst>
            <a:ext uri="{FF2B5EF4-FFF2-40B4-BE49-F238E27FC236}">
              <a16:creationId xmlns:a16="http://schemas.microsoft.com/office/drawing/2014/main" xmlns="" id="{00000000-0008-0000-1000-000031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38100</xdr:rowOff>
    </xdr:from>
    <xdr:to>
      <xdr:col>1</xdr:col>
      <xdr:colOff>1402080</xdr:colOff>
      <xdr:row>0</xdr:row>
      <xdr:rowOff>777503</xdr:rowOff>
    </xdr:to>
    <xdr:pic>
      <xdr:nvPicPr>
        <xdr:cNvPr id="19712562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000-000032CA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81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1278255</xdr:colOff>
      <xdr:row>0</xdr:row>
      <xdr:rowOff>833932</xdr:rowOff>
    </xdr:to>
    <xdr:pic>
      <xdr:nvPicPr>
        <xdr:cNvPr id="19712563" name="Imagen 7">
          <a:extLst>
            <a:ext uri="{FF2B5EF4-FFF2-40B4-BE49-F238E27FC236}">
              <a16:creationId xmlns:a16="http://schemas.microsoft.com/office/drawing/2014/main" xmlns="" id="{00000000-0008-0000-1000-000033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2</xdr:row>
      <xdr:rowOff>104775</xdr:rowOff>
    </xdr:to>
    <xdr:pic>
      <xdr:nvPicPr>
        <xdr:cNvPr id="20484572" name="3 Imagen" descr="logo.jpg">
          <a:extLst>
            <a:ext uri="{FF2B5EF4-FFF2-40B4-BE49-F238E27FC236}">
              <a16:creationId xmlns:a16="http://schemas.microsoft.com/office/drawing/2014/main" xmlns="" id="{00000000-0008-0000-1100-0000DC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47626</xdr:colOff>
      <xdr:row>17</xdr:row>
      <xdr:rowOff>171450</xdr:rowOff>
    </xdr:from>
    <xdr:to>
      <xdr:col>6</xdr:col>
      <xdr:colOff>1323976</xdr:colOff>
      <xdr:row>32</xdr:row>
      <xdr:rowOff>47625</xdr:rowOff>
    </xdr:to>
    <xdr:graphicFrame macro="">
      <xdr:nvGraphicFramePr>
        <xdr:cNvPr id="20484573" name="Gráfico 5">
          <a:extLst>
            <a:ext uri="{FF2B5EF4-FFF2-40B4-BE49-F238E27FC236}">
              <a16:creationId xmlns:a16="http://schemas.microsoft.com/office/drawing/2014/main" xmlns="" id="{00000000-0008-0000-1100-0000DD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7</xdr:row>
      <xdr:rowOff>0</xdr:rowOff>
    </xdr:from>
    <xdr:to>
      <xdr:col>2</xdr:col>
      <xdr:colOff>819150</xdr:colOff>
      <xdr:row>23</xdr:row>
      <xdr:rowOff>104775</xdr:rowOff>
    </xdr:to>
    <xdr:graphicFrame macro="">
      <xdr:nvGraphicFramePr>
        <xdr:cNvPr id="20484574" name="Gráfico 1">
          <a:extLst>
            <a:ext uri="{FF2B5EF4-FFF2-40B4-BE49-F238E27FC236}">
              <a16:creationId xmlns:a16="http://schemas.microsoft.com/office/drawing/2014/main" xmlns="" id="{00000000-0008-0000-1100-0000DE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0</xdr:rowOff>
    </xdr:from>
    <xdr:to>
      <xdr:col>1</xdr:col>
      <xdr:colOff>1459230</xdr:colOff>
      <xdr:row>0</xdr:row>
      <xdr:rowOff>739403</xdr:rowOff>
    </xdr:to>
    <xdr:pic>
      <xdr:nvPicPr>
        <xdr:cNvPr id="20484575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100-0000DF91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9524</xdr:rowOff>
    </xdr:from>
    <xdr:to>
      <xdr:col>6</xdr:col>
      <xdr:colOff>1297304</xdr:colOff>
      <xdr:row>0</xdr:row>
      <xdr:rowOff>840797</xdr:rowOff>
    </xdr:to>
    <xdr:pic>
      <xdr:nvPicPr>
        <xdr:cNvPr id="20484576" name="Imagen 7">
          <a:extLst>
            <a:ext uri="{FF2B5EF4-FFF2-40B4-BE49-F238E27FC236}">
              <a16:creationId xmlns:a16="http://schemas.microsoft.com/office/drawing/2014/main" xmlns="" id="{00000000-0008-0000-1100-0000E0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9524"/>
          <a:ext cx="1097280" cy="83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11</xdr:row>
      <xdr:rowOff>57149</xdr:rowOff>
    </xdr:from>
    <xdr:to>
      <xdr:col>2</xdr:col>
      <xdr:colOff>685799</xdr:colOff>
      <xdr:row>26</xdr:row>
      <xdr:rowOff>161924</xdr:rowOff>
    </xdr:to>
    <xdr:graphicFrame macro="">
      <xdr:nvGraphicFramePr>
        <xdr:cNvPr id="14992214" name="Gráfico 1">
          <a:extLst>
            <a:ext uri="{FF2B5EF4-FFF2-40B4-BE49-F238E27FC236}">
              <a16:creationId xmlns:a16="http://schemas.microsoft.com/office/drawing/2014/main" xmlns="" id="{00000000-0008-0000-1200-000056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20</xdr:row>
      <xdr:rowOff>6350</xdr:rowOff>
    </xdr:from>
    <xdr:to>
      <xdr:col>6</xdr:col>
      <xdr:colOff>1365250</xdr:colOff>
      <xdr:row>35</xdr:row>
      <xdr:rowOff>123825</xdr:rowOff>
    </xdr:to>
    <xdr:graphicFrame macro="">
      <xdr:nvGraphicFramePr>
        <xdr:cNvPr id="14992215" name="Gráfico 2">
          <a:extLst>
            <a:ext uri="{FF2B5EF4-FFF2-40B4-BE49-F238E27FC236}">
              <a16:creationId xmlns:a16="http://schemas.microsoft.com/office/drawing/2014/main" xmlns="" id="{00000000-0008-0000-1200-000057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1411605</xdr:colOff>
      <xdr:row>0</xdr:row>
      <xdr:rowOff>806078</xdr:rowOff>
    </xdr:to>
    <xdr:pic>
      <xdr:nvPicPr>
        <xdr:cNvPr id="14992216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200-000058C3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6</xdr:col>
      <xdr:colOff>1230630</xdr:colOff>
      <xdr:row>0</xdr:row>
      <xdr:rowOff>833932</xdr:rowOff>
    </xdr:to>
    <xdr:pic>
      <xdr:nvPicPr>
        <xdr:cNvPr id="14992217" name="Imagen 6">
          <a:extLst>
            <a:ext uri="{FF2B5EF4-FFF2-40B4-BE49-F238E27FC236}">
              <a16:creationId xmlns:a16="http://schemas.microsoft.com/office/drawing/2014/main" xmlns="" id="{00000000-0008-0000-1200-000059C3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" name="3 Imagen" descr="logo.jpg">
          <a:extLst>
            <a:ext uri="{FF2B5EF4-FFF2-40B4-BE49-F238E27FC236}">
              <a16:creationId xmlns:a16="http://schemas.microsoft.com/office/drawing/2014/main" xmlns="" id="{BD7E779D-2978-48B4-90AD-4C6D756FA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03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22</xdr:row>
      <xdr:rowOff>83343</xdr:rowOff>
    </xdr:from>
    <xdr:to>
      <xdr:col>2</xdr:col>
      <xdr:colOff>762000</xdr:colOff>
      <xdr:row>37</xdr:row>
      <xdr:rowOff>71437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xmlns="" id="{0343C948-68B5-4618-856A-D75A1FDD0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1281339</xdr:colOff>
      <xdr:row>43</xdr:row>
      <xdr:rowOff>7144</xdr:rowOff>
    </xdr:from>
    <xdr:to>
      <xdr:col>6</xdr:col>
      <xdr:colOff>1162730</xdr:colOff>
      <xdr:row>60</xdr:row>
      <xdr:rowOff>23813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xmlns="" id="{087CBF9A-4141-477E-B432-1CF0BD3CF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588169</xdr:colOff>
      <xdr:row>0</xdr:row>
      <xdr:rowOff>130969</xdr:rowOff>
    </xdr:from>
    <xdr:to>
      <xdr:col>1</xdr:col>
      <xdr:colOff>1228249</xdr:colOff>
      <xdr:row>0</xdr:row>
      <xdr:rowOff>870372</xdr:rowOff>
    </xdr:to>
    <xdr:pic>
      <xdr:nvPicPr>
        <xdr:cNvPr id="5" name="3 Imagen" descr="E:\DOCUMENTOS LENIS\Memoria pasar\1Escudo.jpg">
          <a:extLst>
            <a:ext uri="{FF2B5EF4-FFF2-40B4-BE49-F238E27FC236}">
              <a16:creationId xmlns:a16="http://schemas.microsoft.com/office/drawing/2014/main" xmlns="" id="{45F4F962-9B99-492D-9A0D-D1CDDAE4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8" y="130969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1</xdr:row>
      <xdr:rowOff>54192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5046C1D-7AED-4813-BD4E-C186C848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100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89298</xdr:colOff>
      <xdr:row>39</xdr:row>
      <xdr:rowOff>11906</xdr:rowOff>
    </xdr:from>
    <xdr:to>
      <xdr:col>2</xdr:col>
      <xdr:colOff>773906</xdr:colOff>
      <xdr:row>55</xdr:row>
      <xdr:rowOff>154781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826536E-D1E2-49D8-91DD-87EE32B2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200024</xdr:rowOff>
    </xdr:from>
    <xdr:to>
      <xdr:col>2</xdr:col>
      <xdr:colOff>838200</xdr:colOff>
      <xdr:row>24</xdr:row>
      <xdr:rowOff>180974</xdr:rowOff>
    </xdr:to>
    <xdr:graphicFrame macro="">
      <xdr:nvGraphicFramePr>
        <xdr:cNvPr id="16616137" name="Gráfico 1">
          <a:extLst>
            <a:ext uri="{FF2B5EF4-FFF2-40B4-BE49-F238E27FC236}">
              <a16:creationId xmlns:a16="http://schemas.microsoft.com/office/drawing/2014/main" xmlns="" id="{00000000-0008-0000-1300-0000C9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19</xdr:row>
      <xdr:rowOff>88900</xdr:rowOff>
    </xdr:from>
    <xdr:to>
      <xdr:col>6</xdr:col>
      <xdr:colOff>1327150</xdr:colOff>
      <xdr:row>35</xdr:row>
      <xdr:rowOff>95250</xdr:rowOff>
    </xdr:to>
    <xdr:graphicFrame macro="">
      <xdr:nvGraphicFramePr>
        <xdr:cNvPr id="16616138" name="Gráfico 2">
          <a:extLst>
            <a:ext uri="{FF2B5EF4-FFF2-40B4-BE49-F238E27FC236}">
              <a16:creationId xmlns:a16="http://schemas.microsoft.com/office/drawing/2014/main" xmlns="" id="{00000000-0008-0000-1300-0000CA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16616139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300-0000CB8A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57150</xdr:rowOff>
    </xdr:from>
    <xdr:to>
      <xdr:col>6</xdr:col>
      <xdr:colOff>1240155</xdr:colOff>
      <xdr:row>1</xdr:row>
      <xdr:rowOff>5257</xdr:rowOff>
    </xdr:to>
    <xdr:pic>
      <xdr:nvPicPr>
        <xdr:cNvPr id="16616140" name="Imagen 6">
          <a:extLst>
            <a:ext uri="{FF2B5EF4-FFF2-40B4-BE49-F238E27FC236}">
              <a16:creationId xmlns:a16="http://schemas.microsoft.com/office/drawing/2014/main" xmlns="" id="{00000000-0008-0000-1300-0000CC8AF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5715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14952" name="3 Imagen" descr="logo.jpg">
          <a:extLst>
            <a:ext uri="{FF2B5EF4-FFF2-40B4-BE49-F238E27FC236}">
              <a16:creationId xmlns:a16="http://schemas.microsoft.com/office/drawing/2014/main" xmlns="" id="{00000000-0008-0000-1400-000088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200818</xdr:colOff>
      <xdr:row>29</xdr:row>
      <xdr:rowOff>69850</xdr:rowOff>
    </xdr:from>
    <xdr:to>
      <xdr:col>2</xdr:col>
      <xdr:colOff>1047749</xdr:colOff>
      <xdr:row>48</xdr:row>
      <xdr:rowOff>79376</xdr:rowOff>
    </xdr:to>
    <xdr:graphicFrame macro="">
      <xdr:nvGraphicFramePr>
        <xdr:cNvPr id="21314953" name="Gráfico 1">
          <a:extLst>
            <a:ext uri="{FF2B5EF4-FFF2-40B4-BE49-F238E27FC236}">
              <a16:creationId xmlns:a16="http://schemas.microsoft.com/office/drawing/2014/main" xmlns="" id="{00000000-0008-0000-1400-000089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349249</xdr:colOff>
      <xdr:row>41</xdr:row>
      <xdr:rowOff>15875</xdr:rowOff>
    </xdr:from>
    <xdr:to>
      <xdr:col>6</xdr:col>
      <xdr:colOff>396874</xdr:colOff>
      <xdr:row>56</xdr:row>
      <xdr:rowOff>31750</xdr:rowOff>
    </xdr:to>
    <xdr:graphicFrame macro="">
      <xdr:nvGraphicFramePr>
        <xdr:cNvPr id="21314954" name="Gráfico 2">
          <a:extLst>
            <a:ext uri="{FF2B5EF4-FFF2-40B4-BE49-F238E27FC236}">
              <a16:creationId xmlns:a16="http://schemas.microsoft.com/office/drawing/2014/main" xmlns="" id="{00000000-0008-0000-1400-00008A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800100</xdr:colOff>
      <xdr:row>0</xdr:row>
      <xdr:rowOff>66675</xdr:rowOff>
    </xdr:from>
    <xdr:to>
      <xdr:col>1</xdr:col>
      <xdr:colOff>1440180</xdr:colOff>
      <xdr:row>0</xdr:row>
      <xdr:rowOff>806078</xdr:rowOff>
    </xdr:to>
    <xdr:pic>
      <xdr:nvPicPr>
        <xdr:cNvPr id="21314955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400-00008B3D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0</xdr:rowOff>
    </xdr:from>
    <xdr:to>
      <xdr:col>6</xdr:col>
      <xdr:colOff>1202055</xdr:colOff>
      <xdr:row>0</xdr:row>
      <xdr:rowOff>833932</xdr:rowOff>
    </xdr:to>
    <xdr:pic>
      <xdr:nvPicPr>
        <xdr:cNvPr id="21314956" name="Imagen 7">
          <a:extLst>
            <a:ext uri="{FF2B5EF4-FFF2-40B4-BE49-F238E27FC236}">
              <a16:creationId xmlns:a16="http://schemas.microsoft.com/office/drawing/2014/main" xmlns="" id="{00000000-0008-0000-1400-00008C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65126" name="3 Imagen" descr="logo.jpg">
          <a:extLst>
            <a:ext uri="{FF2B5EF4-FFF2-40B4-BE49-F238E27FC236}">
              <a16:creationId xmlns:a16="http://schemas.microsoft.com/office/drawing/2014/main" xmlns="" id="{00000000-0008-0000-1500-000086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10</xdr:row>
      <xdr:rowOff>171450</xdr:rowOff>
    </xdr:from>
    <xdr:to>
      <xdr:col>1</xdr:col>
      <xdr:colOff>4593166</xdr:colOff>
      <xdr:row>27</xdr:row>
      <xdr:rowOff>179916</xdr:rowOff>
    </xdr:to>
    <xdr:graphicFrame macro="">
      <xdr:nvGraphicFramePr>
        <xdr:cNvPr id="21365127" name="Gráfico 1">
          <a:extLst>
            <a:ext uri="{FF2B5EF4-FFF2-40B4-BE49-F238E27FC236}">
              <a16:creationId xmlns:a16="http://schemas.microsoft.com/office/drawing/2014/main" xmlns="" id="{00000000-0008-0000-1500-000087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1322564</xdr:colOff>
      <xdr:row>22</xdr:row>
      <xdr:rowOff>50094</xdr:rowOff>
    </xdr:from>
    <xdr:to>
      <xdr:col>6</xdr:col>
      <xdr:colOff>947561</xdr:colOff>
      <xdr:row>37</xdr:row>
      <xdr:rowOff>97719</xdr:rowOff>
    </xdr:to>
    <xdr:graphicFrame macro="">
      <xdr:nvGraphicFramePr>
        <xdr:cNvPr id="21365128" name="Gráfico 2">
          <a:extLst>
            <a:ext uri="{FF2B5EF4-FFF2-40B4-BE49-F238E27FC236}">
              <a16:creationId xmlns:a16="http://schemas.microsoft.com/office/drawing/2014/main" xmlns="" id="{00000000-0008-0000-1500-000088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797982</xdr:colOff>
      <xdr:row>0</xdr:row>
      <xdr:rowOff>11642</xdr:rowOff>
    </xdr:from>
    <xdr:to>
      <xdr:col>1</xdr:col>
      <xdr:colOff>1438062</xdr:colOff>
      <xdr:row>0</xdr:row>
      <xdr:rowOff>764017</xdr:rowOff>
    </xdr:to>
    <xdr:pic>
      <xdr:nvPicPr>
        <xdr:cNvPr id="21365129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500-00008901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65" y="11642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1247774</xdr:colOff>
      <xdr:row>0</xdr:row>
      <xdr:rowOff>49742</xdr:rowOff>
    </xdr:from>
    <xdr:to>
      <xdr:col>6</xdr:col>
      <xdr:colOff>699346</xdr:colOff>
      <xdr:row>1</xdr:row>
      <xdr:rowOff>1568</xdr:rowOff>
    </xdr:to>
    <xdr:pic>
      <xdr:nvPicPr>
        <xdr:cNvPr id="21365130" name="Imagen 7">
          <a:extLst>
            <a:ext uri="{FF2B5EF4-FFF2-40B4-BE49-F238E27FC236}">
              <a16:creationId xmlns:a16="http://schemas.microsoft.com/office/drawing/2014/main" xmlns="" id="{00000000-0008-0000-1500-00008A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691" y="49742"/>
          <a:ext cx="1097280" cy="83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75</xdr:row>
      <xdr:rowOff>142875</xdr:rowOff>
    </xdr:from>
    <xdr:to>
      <xdr:col>6</xdr:col>
      <xdr:colOff>1348920</xdr:colOff>
      <xdr:row>95</xdr:row>
      <xdr:rowOff>19050</xdr:rowOff>
    </xdr:to>
    <xdr:graphicFrame macro="">
      <xdr:nvGraphicFramePr>
        <xdr:cNvPr id="16022271" name="Gráfico 3">
          <a:extLst>
            <a:ext uri="{FF2B5EF4-FFF2-40B4-BE49-F238E27FC236}">
              <a16:creationId xmlns:a16="http://schemas.microsoft.com/office/drawing/2014/main" xmlns="" id="{00000000-0008-0000-1600-0000FF7A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355146</xdr:colOff>
      <xdr:row>1</xdr:row>
      <xdr:rowOff>127907</xdr:rowOff>
    </xdr:from>
    <xdr:to>
      <xdr:col>1</xdr:col>
      <xdr:colOff>995226</xdr:colOff>
      <xdr:row>1</xdr:row>
      <xdr:rowOff>874114</xdr:rowOff>
    </xdr:to>
    <xdr:pic>
      <xdr:nvPicPr>
        <xdr:cNvPr id="16022272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600-0000007B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71" y="334282"/>
          <a:ext cx="640080" cy="746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0</xdr:row>
      <xdr:rowOff>142875</xdr:rowOff>
    </xdr:from>
    <xdr:to>
      <xdr:col>6</xdr:col>
      <xdr:colOff>1240154</xdr:colOff>
      <xdr:row>1</xdr:row>
      <xdr:rowOff>791556</xdr:rowOff>
    </xdr:to>
    <xdr:pic>
      <xdr:nvPicPr>
        <xdr:cNvPr id="16022273" name="Imagen 6">
          <a:extLst>
            <a:ext uri="{FF2B5EF4-FFF2-40B4-BE49-F238E27FC236}">
              <a16:creationId xmlns:a16="http://schemas.microsoft.com/office/drawing/2014/main" xmlns="" id="{00000000-0008-0000-1600-0000017B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142875"/>
          <a:ext cx="935354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67</xdr:row>
      <xdr:rowOff>114299</xdr:rowOff>
    </xdr:from>
    <xdr:to>
      <xdr:col>2</xdr:col>
      <xdr:colOff>742950</xdr:colOff>
      <xdr:row>85</xdr:row>
      <xdr:rowOff>142874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18</xdr:row>
      <xdr:rowOff>9524</xdr:rowOff>
    </xdr:from>
    <xdr:to>
      <xdr:col>2</xdr:col>
      <xdr:colOff>676274</xdr:colOff>
      <xdr:row>33</xdr:row>
      <xdr:rowOff>104774</xdr:rowOff>
    </xdr:to>
    <xdr:graphicFrame macro="">
      <xdr:nvGraphicFramePr>
        <xdr:cNvPr id="15003479" name="Gráfico 1">
          <a:extLst>
            <a:ext uri="{FF2B5EF4-FFF2-40B4-BE49-F238E27FC236}">
              <a16:creationId xmlns:a16="http://schemas.microsoft.com/office/drawing/2014/main" xmlns="" id="{00000000-0008-0000-1700-000057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1098550</xdr:colOff>
      <xdr:row>30</xdr:row>
      <xdr:rowOff>2116</xdr:rowOff>
    </xdr:from>
    <xdr:to>
      <xdr:col>6</xdr:col>
      <xdr:colOff>993775</xdr:colOff>
      <xdr:row>44</xdr:row>
      <xdr:rowOff>106891</xdr:rowOff>
    </xdr:to>
    <xdr:graphicFrame macro="">
      <xdr:nvGraphicFramePr>
        <xdr:cNvPr id="15003480" name="Gráfico 2">
          <a:extLst>
            <a:ext uri="{FF2B5EF4-FFF2-40B4-BE49-F238E27FC236}">
              <a16:creationId xmlns:a16="http://schemas.microsoft.com/office/drawing/2014/main" xmlns="" id="{00000000-0008-0000-1700-000058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942974</xdr:colOff>
      <xdr:row>0</xdr:row>
      <xdr:rowOff>66674</xdr:rowOff>
    </xdr:from>
    <xdr:to>
      <xdr:col>1</xdr:col>
      <xdr:colOff>1583054</xdr:colOff>
      <xdr:row>0</xdr:row>
      <xdr:rowOff>803254</xdr:rowOff>
    </xdr:to>
    <xdr:pic>
      <xdr:nvPicPr>
        <xdr:cNvPr id="15003481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700-000059EF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66674"/>
          <a:ext cx="640080" cy="7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0</xdr:rowOff>
    </xdr:from>
    <xdr:to>
      <xdr:col>6</xdr:col>
      <xdr:colOff>1297304</xdr:colOff>
      <xdr:row>0</xdr:row>
      <xdr:rowOff>842356</xdr:rowOff>
    </xdr:to>
    <xdr:pic>
      <xdr:nvPicPr>
        <xdr:cNvPr id="15003482" name="Imagen 6">
          <a:extLst>
            <a:ext uri="{FF2B5EF4-FFF2-40B4-BE49-F238E27FC236}">
              <a16:creationId xmlns:a16="http://schemas.microsoft.com/office/drawing/2014/main" xmlns="" id="{00000000-0008-0000-1700-00005AEF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0"/>
          <a:ext cx="1097280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18</xdr:row>
      <xdr:rowOff>57150</xdr:rowOff>
    </xdr:from>
    <xdr:to>
      <xdr:col>7</xdr:col>
      <xdr:colOff>0</xdr:colOff>
      <xdr:row>34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4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9525</xdr:rowOff>
    </xdr:from>
    <xdr:to>
      <xdr:col>6</xdr:col>
      <xdr:colOff>1230630</xdr:colOff>
      <xdr:row>0</xdr:row>
      <xdr:rowOff>843457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9525"/>
          <a:ext cx="10591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79374</xdr:colOff>
      <xdr:row>7</xdr:row>
      <xdr:rowOff>136525</xdr:rowOff>
    </xdr:from>
    <xdr:to>
      <xdr:col>2</xdr:col>
      <xdr:colOff>1068916</xdr:colOff>
      <xdr:row>26</xdr:row>
      <xdr:rowOff>158750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8EB2D439-CB41-4DB9-9163-89B7FE3FD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857250</xdr:rowOff>
    </xdr:to>
    <xdr:pic>
      <xdr:nvPicPr>
        <xdr:cNvPr id="18061017" name="3 Imagen" descr="logo.jpg">
          <a:extLst>
            <a:ext uri="{FF2B5EF4-FFF2-40B4-BE49-F238E27FC236}">
              <a16:creationId xmlns:a16="http://schemas.microsoft.com/office/drawing/2014/main" xmlns="" id="{00000000-0008-0000-0200-0000D9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21166</xdr:colOff>
      <xdr:row>23</xdr:row>
      <xdr:rowOff>3173</xdr:rowOff>
    </xdr:from>
    <xdr:to>
      <xdr:col>6</xdr:col>
      <xdr:colOff>1312333</xdr:colOff>
      <xdr:row>40</xdr:row>
      <xdr:rowOff>63499</xdr:rowOff>
    </xdr:to>
    <xdr:graphicFrame macro="">
      <xdr:nvGraphicFramePr>
        <xdr:cNvPr id="18061018" name="Gráfico 2">
          <a:extLst>
            <a:ext uri="{FF2B5EF4-FFF2-40B4-BE49-F238E27FC236}">
              <a16:creationId xmlns:a16="http://schemas.microsoft.com/office/drawing/2014/main" xmlns="" id="{00000000-0008-0000-0200-0000DA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95249</xdr:colOff>
      <xdr:row>12</xdr:row>
      <xdr:rowOff>201084</xdr:rowOff>
    </xdr:from>
    <xdr:to>
      <xdr:col>2</xdr:col>
      <xdr:colOff>677333</xdr:colOff>
      <xdr:row>30</xdr:row>
      <xdr:rowOff>42334</xdr:rowOff>
    </xdr:to>
    <xdr:graphicFrame macro="">
      <xdr:nvGraphicFramePr>
        <xdr:cNvPr id="18061019" name="Gráfico 3">
          <a:extLst>
            <a:ext uri="{FF2B5EF4-FFF2-40B4-BE49-F238E27FC236}">
              <a16:creationId xmlns:a16="http://schemas.microsoft.com/office/drawing/2014/main" xmlns="" id="{00000000-0008-0000-0200-0000DB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609599</xdr:colOff>
      <xdr:row>0</xdr:row>
      <xdr:rowOff>66674</xdr:rowOff>
    </xdr:from>
    <xdr:to>
      <xdr:col>1</xdr:col>
      <xdr:colOff>1249679</xdr:colOff>
      <xdr:row>0</xdr:row>
      <xdr:rowOff>805228</xdr:rowOff>
    </xdr:to>
    <xdr:pic>
      <xdr:nvPicPr>
        <xdr:cNvPr id="18061020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200-0000DC96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66" y="66674"/>
          <a:ext cx="640080" cy="738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179916</xdr:colOff>
      <xdr:row>0</xdr:row>
      <xdr:rowOff>0</xdr:rowOff>
    </xdr:from>
    <xdr:to>
      <xdr:col>6</xdr:col>
      <xdr:colOff>1277196</xdr:colOff>
      <xdr:row>1</xdr:row>
      <xdr:rowOff>58136</xdr:rowOff>
    </xdr:to>
    <xdr:pic>
      <xdr:nvPicPr>
        <xdr:cNvPr id="18061021" name="Imagen 7">
          <a:extLst>
            <a:ext uri="{FF2B5EF4-FFF2-40B4-BE49-F238E27FC236}">
              <a16:creationId xmlns:a16="http://schemas.microsoft.com/office/drawing/2014/main" xmlns="" id="{00000000-0008-0000-0200-0000DD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49" y="0"/>
          <a:ext cx="1097280" cy="10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19050</xdr:rowOff>
    </xdr:to>
    <xdr:pic>
      <xdr:nvPicPr>
        <xdr:cNvPr id="20348394" name="3 Imagen" descr="logo.jpg">
          <a:extLst>
            <a:ext uri="{FF2B5EF4-FFF2-40B4-BE49-F238E27FC236}">
              <a16:creationId xmlns:a16="http://schemas.microsoft.com/office/drawing/2014/main" xmlns="" id="{00000000-0008-0000-0300-0000EA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93134</xdr:colOff>
      <xdr:row>21</xdr:row>
      <xdr:rowOff>38100</xdr:rowOff>
    </xdr:from>
    <xdr:to>
      <xdr:col>2</xdr:col>
      <xdr:colOff>781050</xdr:colOff>
      <xdr:row>36</xdr:row>
      <xdr:rowOff>142875</xdr:rowOff>
    </xdr:to>
    <xdr:graphicFrame macro="">
      <xdr:nvGraphicFramePr>
        <xdr:cNvPr id="20348395" name="Gráfico 1">
          <a:extLst>
            <a:ext uri="{FF2B5EF4-FFF2-40B4-BE49-F238E27FC236}">
              <a16:creationId xmlns:a16="http://schemas.microsoft.com/office/drawing/2014/main" xmlns="" id="{00000000-0008-0000-0300-0000EB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609600</xdr:colOff>
      <xdr:row>31</xdr:row>
      <xdr:rowOff>38100</xdr:rowOff>
    </xdr:from>
    <xdr:to>
      <xdr:col>6</xdr:col>
      <xdr:colOff>1304925</xdr:colOff>
      <xdr:row>45</xdr:row>
      <xdr:rowOff>104775</xdr:rowOff>
    </xdr:to>
    <xdr:graphicFrame macro="">
      <xdr:nvGraphicFramePr>
        <xdr:cNvPr id="20348396" name="Gráfico 2">
          <a:extLst>
            <a:ext uri="{FF2B5EF4-FFF2-40B4-BE49-F238E27FC236}">
              <a16:creationId xmlns:a16="http://schemas.microsoft.com/office/drawing/2014/main" xmlns="" id="{00000000-0008-0000-0300-0000EC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676275</xdr:colOff>
      <xdr:row>1</xdr:row>
      <xdr:rowOff>47625</xdr:rowOff>
    </xdr:from>
    <xdr:to>
      <xdr:col>1</xdr:col>
      <xdr:colOff>1316355</xdr:colOff>
      <xdr:row>1</xdr:row>
      <xdr:rowOff>772421</xdr:rowOff>
    </xdr:to>
    <xdr:pic>
      <xdr:nvPicPr>
        <xdr:cNvPr id="20348397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300-0000ED7D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7175"/>
          <a:ext cx="640080" cy="72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142876</xdr:colOff>
      <xdr:row>0</xdr:row>
      <xdr:rowOff>123825</xdr:rowOff>
    </xdr:from>
    <xdr:to>
      <xdr:col>6</xdr:col>
      <xdr:colOff>1240156</xdr:colOff>
      <xdr:row>2</xdr:row>
      <xdr:rowOff>93470</xdr:rowOff>
    </xdr:to>
    <xdr:pic>
      <xdr:nvPicPr>
        <xdr:cNvPr id="20348398" name="Imagen 7">
          <a:extLst>
            <a:ext uri="{FF2B5EF4-FFF2-40B4-BE49-F238E27FC236}">
              <a16:creationId xmlns:a16="http://schemas.microsoft.com/office/drawing/2014/main" xmlns="" id="{00000000-0008-0000-0300-0000EE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0"/>
          <a:ext cx="1097280" cy="97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38100</xdr:rowOff>
    </xdr:to>
    <xdr:pic>
      <xdr:nvPicPr>
        <xdr:cNvPr id="19498560" name="3 Imagen" descr="logo.jpg">
          <a:extLst>
            <a:ext uri="{FF2B5EF4-FFF2-40B4-BE49-F238E27FC236}">
              <a16:creationId xmlns:a16="http://schemas.microsoft.com/office/drawing/2014/main" xmlns="" id="{00000000-0008-0000-0400-000040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35</xdr:row>
      <xdr:rowOff>25400</xdr:rowOff>
    </xdr:from>
    <xdr:to>
      <xdr:col>6</xdr:col>
      <xdr:colOff>1339850</xdr:colOff>
      <xdr:row>50</xdr:row>
      <xdr:rowOff>114300</xdr:rowOff>
    </xdr:to>
    <xdr:graphicFrame macro="">
      <xdr:nvGraphicFramePr>
        <xdr:cNvPr id="19498561" name="Gráfico 2">
          <a:extLst>
            <a:ext uri="{FF2B5EF4-FFF2-40B4-BE49-F238E27FC236}">
              <a16:creationId xmlns:a16="http://schemas.microsoft.com/office/drawing/2014/main" xmlns="" id="{00000000-0008-0000-0400-000041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26</xdr:row>
      <xdr:rowOff>9525</xdr:rowOff>
    </xdr:from>
    <xdr:to>
      <xdr:col>2</xdr:col>
      <xdr:colOff>742950</xdr:colOff>
      <xdr:row>41</xdr:row>
      <xdr:rowOff>152400</xdr:rowOff>
    </xdr:to>
    <xdr:graphicFrame macro="">
      <xdr:nvGraphicFramePr>
        <xdr:cNvPr id="19498562" name="Gráfico 3">
          <a:extLst>
            <a:ext uri="{FF2B5EF4-FFF2-40B4-BE49-F238E27FC236}">
              <a16:creationId xmlns:a16="http://schemas.microsoft.com/office/drawing/2014/main" xmlns="" id="{00000000-0008-0000-0400-000042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647700</xdr:colOff>
      <xdr:row>1</xdr:row>
      <xdr:rowOff>47625</xdr:rowOff>
    </xdr:from>
    <xdr:to>
      <xdr:col>1</xdr:col>
      <xdr:colOff>1287780</xdr:colOff>
      <xdr:row>1</xdr:row>
      <xdr:rowOff>784687</xdr:rowOff>
    </xdr:to>
    <xdr:pic>
      <xdr:nvPicPr>
        <xdr:cNvPr id="19498563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400-0000438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7650"/>
          <a:ext cx="640080" cy="73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171449</xdr:colOff>
      <xdr:row>0</xdr:row>
      <xdr:rowOff>57150</xdr:rowOff>
    </xdr:from>
    <xdr:to>
      <xdr:col>6</xdr:col>
      <xdr:colOff>1268729</xdr:colOff>
      <xdr:row>2</xdr:row>
      <xdr:rowOff>63382</xdr:rowOff>
    </xdr:to>
    <xdr:pic>
      <xdr:nvPicPr>
        <xdr:cNvPr id="19498564" name="Imagen 7">
          <a:extLst>
            <a:ext uri="{FF2B5EF4-FFF2-40B4-BE49-F238E27FC236}">
              <a16:creationId xmlns:a16="http://schemas.microsoft.com/office/drawing/2014/main" xmlns="" id="{00000000-0008-0000-0400-000044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4" y="57150"/>
          <a:ext cx="1097280" cy="1006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0" name="3 Imagen" descr="logo.jpg">
          <a:extLst>
            <a:ext uri="{FF2B5EF4-FFF2-40B4-BE49-F238E27FC236}">
              <a16:creationId xmlns:a16="http://schemas.microsoft.com/office/drawing/2014/main" xmlns="" id="{00000000-0008-0000-0500-000094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1" name="3 Imagen" descr="logo.jpg">
          <a:extLst>
            <a:ext uri="{FF2B5EF4-FFF2-40B4-BE49-F238E27FC236}">
              <a16:creationId xmlns:a16="http://schemas.microsoft.com/office/drawing/2014/main" xmlns="" id="{00000000-0008-0000-0500-000095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30</xdr:row>
      <xdr:rowOff>200024</xdr:rowOff>
    </xdr:from>
    <xdr:to>
      <xdr:col>2</xdr:col>
      <xdr:colOff>657225</xdr:colOff>
      <xdr:row>46</xdr:row>
      <xdr:rowOff>9524</xdr:rowOff>
    </xdr:to>
    <xdr:graphicFrame macro="">
      <xdr:nvGraphicFramePr>
        <xdr:cNvPr id="21825942" name="Gráfico 3">
          <a:extLst>
            <a:ext uri="{FF2B5EF4-FFF2-40B4-BE49-F238E27FC236}">
              <a16:creationId xmlns:a16="http://schemas.microsoft.com/office/drawing/2014/main" xmlns="" id="{00000000-0008-0000-0500-000096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819150</xdr:colOff>
      <xdr:row>1</xdr:row>
      <xdr:rowOff>85725</xdr:rowOff>
    </xdr:from>
    <xdr:to>
      <xdr:col>1</xdr:col>
      <xdr:colOff>1459230</xdr:colOff>
      <xdr:row>1</xdr:row>
      <xdr:rowOff>825128</xdr:rowOff>
    </xdr:to>
    <xdr:pic>
      <xdr:nvPicPr>
        <xdr:cNvPr id="21825943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500-00009709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85723</xdr:rowOff>
    </xdr:from>
    <xdr:to>
      <xdr:col>6</xdr:col>
      <xdr:colOff>1259205</xdr:colOff>
      <xdr:row>2</xdr:row>
      <xdr:rowOff>23704</xdr:rowOff>
    </xdr:to>
    <xdr:pic>
      <xdr:nvPicPr>
        <xdr:cNvPr id="21825944" name="Imagen 7">
          <a:extLst>
            <a:ext uri="{FF2B5EF4-FFF2-40B4-BE49-F238E27FC236}">
              <a16:creationId xmlns:a16="http://schemas.microsoft.com/office/drawing/2014/main" xmlns="" id="{00000000-0008-0000-0500-000098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85723"/>
          <a:ext cx="1097280" cy="98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1066801</xdr:colOff>
      <xdr:row>40</xdr:row>
      <xdr:rowOff>60325</xdr:rowOff>
    </xdr:from>
    <xdr:to>
      <xdr:col>6</xdr:col>
      <xdr:colOff>1123951</xdr:colOff>
      <xdr:row>56</xdr:row>
      <xdr:rowOff>73025</xdr:rowOff>
    </xdr:to>
    <xdr:graphicFrame macro="">
      <xdr:nvGraphicFramePr>
        <xdr:cNvPr id="21825945" name="Gráfico 2">
          <a:extLst>
            <a:ext uri="{FF2B5EF4-FFF2-40B4-BE49-F238E27FC236}">
              <a16:creationId xmlns:a16="http://schemas.microsoft.com/office/drawing/2014/main" xmlns="" id="{00000000-0008-0000-0500-000099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2656" name="3 Imagen" descr="logo.jpg">
          <a:extLst>
            <a:ext uri="{FF2B5EF4-FFF2-40B4-BE49-F238E27FC236}">
              <a16:creationId xmlns:a16="http://schemas.microsoft.com/office/drawing/2014/main" xmlns="" id="{00000000-0008-0000-0600-000040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20</xdr:row>
      <xdr:rowOff>215899</xdr:rowOff>
    </xdr:from>
    <xdr:to>
      <xdr:col>6</xdr:col>
      <xdr:colOff>1330325</xdr:colOff>
      <xdr:row>32</xdr:row>
      <xdr:rowOff>161925</xdr:rowOff>
    </xdr:to>
    <xdr:graphicFrame macro="">
      <xdr:nvGraphicFramePr>
        <xdr:cNvPr id="19502657" name="Gráfico 2">
          <a:extLst>
            <a:ext uri="{FF2B5EF4-FFF2-40B4-BE49-F238E27FC236}">
              <a16:creationId xmlns:a16="http://schemas.microsoft.com/office/drawing/2014/main" xmlns="" id="{00000000-0008-0000-0600-000041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66676</xdr:colOff>
      <xdr:row>11</xdr:row>
      <xdr:rowOff>187323</xdr:rowOff>
    </xdr:from>
    <xdr:to>
      <xdr:col>2</xdr:col>
      <xdr:colOff>885826</xdr:colOff>
      <xdr:row>20</xdr:row>
      <xdr:rowOff>542924</xdr:rowOff>
    </xdr:to>
    <xdr:graphicFrame macro="">
      <xdr:nvGraphicFramePr>
        <xdr:cNvPr id="19502658" name="Gráfico 3">
          <a:extLst>
            <a:ext uri="{FF2B5EF4-FFF2-40B4-BE49-F238E27FC236}">
              <a16:creationId xmlns:a16="http://schemas.microsoft.com/office/drawing/2014/main" xmlns="" id="{00000000-0008-0000-0600-000042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638175</xdr:colOff>
      <xdr:row>0</xdr:row>
      <xdr:rowOff>76200</xdr:rowOff>
    </xdr:from>
    <xdr:to>
      <xdr:col>1</xdr:col>
      <xdr:colOff>1278255</xdr:colOff>
      <xdr:row>0</xdr:row>
      <xdr:rowOff>815603</xdr:rowOff>
    </xdr:to>
    <xdr:pic>
      <xdr:nvPicPr>
        <xdr:cNvPr id="19502659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600-0000439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0</xdr:row>
      <xdr:rowOff>9525</xdr:rowOff>
    </xdr:from>
    <xdr:to>
      <xdr:col>6</xdr:col>
      <xdr:colOff>1221105</xdr:colOff>
      <xdr:row>0</xdr:row>
      <xdr:rowOff>843457</xdr:rowOff>
    </xdr:to>
    <xdr:pic>
      <xdr:nvPicPr>
        <xdr:cNvPr id="19502660" name="Imagen 7">
          <a:extLst>
            <a:ext uri="{FF2B5EF4-FFF2-40B4-BE49-F238E27FC236}">
              <a16:creationId xmlns:a16="http://schemas.microsoft.com/office/drawing/2014/main" xmlns="" id="{00000000-0008-0000-0600-000044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952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0" name="3 Imagen" descr="logo.jpg">
          <a:extLst>
            <a:ext uri="{FF2B5EF4-FFF2-40B4-BE49-F238E27FC236}">
              <a16:creationId xmlns:a16="http://schemas.microsoft.com/office/drawing/2014/main" xmlns="" id="{00000000-0008-0000-0700-0000D8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1" name="3 Imagen" descr="logo.jpg">
          <a:extLst>
            <a:ext uri="{FF2B5EF4-FFF2-40B4-BE49-F238E27FC236}">
              <a16:creationId xmlns:a16="http://schemas.microsoft.com/office/drawing/2014/main" xmlns="" id="{00000000-0008-0000-0700-0000D9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298449</xdr:colOff>
      <xdr:row>55</xdr:row>
      <xdr:rowOff>31750</xdr:rowOff>
    </xdr:from>
    <xdr:to>
      <xdr:col>2</xdr:col>
      <xdr:colOff>898524</xdr:colOff>
      <xdr:row>70</xdr:row>
      <xdr:rowOff>168275</xdr:rowOff>
    </xdr:to>
    <xdr:graphicFrame macro="">
      <xdr:nvGraphicFramePr>
        <xdr:cNvPr id="19224282" name="Gráfico 3">
          <a:extLst>
            <a:ext uri="{FF2B5EF4-FFF2-40B4-BE49-F238E27FC236}">
              <a16:creationId xmlns:a16="http://schemas.microsoft.com/office/drawing/2014/main" xmlns="" id="{00000000-0008-0000-0700-0000DA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134938</xdr:colOff>
      <xdr:row>55</xdr:row>
      <xdr:rowOff>20638</xdr:rowOff>
    </xdr:from>
    <xdr:to>
      <xdr:col>6</xdr:col>
      <xdr:colOff>1347788</xdr:colOff>
      <xdr:row>71</xdr:row>
      <xdr:rowOff>68263</xdr:rowOff>
    </xdr:to>
    <xdr:graphicFrame macro="">
      <xdr:nvGraphicFramePr>
        <xdr:cNvPr id="19224283" name="Gráfico 2">
          <a:extLst>
            <a:ext uri="{FF2B5EF4-FFF2-40B4-BE49-F238E27FC236}">
              <a16:creationId xmlns:a16="http://schemas.microsoft.com/office/drawing/2014/main" xmlns="" id="{00000000-0008-0000-0700-0000DB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428624</xdr:colOff>
      <xdr:row>1</xdr:row>
      <xdr:rowOff>85725</xdr:rowOff>
    </xdr:from>
    <xdr:to>
      <xdr:col>1</xdr:col>
      <xdr:colOff>1068704</xdr:colOff>
      <xdr:row>1</xdr:row>
      <xdr:rowOff>812596</xdr:rowOff>
    </xdr:to>
    <xdr:pic>
      <xdr:nvPicPr>
        <xdr:cNvPr id="19224284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700-0000DC56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285750"/>
          <a:ext cx="640080" cy="72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152398</xdr:colOff>
      <xdr:row>0</xdr:row>
      <xdr:rowOff>66675</xdr:rowOff>
    </xdr:from>
    <xdr:to>
      <xdr:col>6</xdr:col>
      <xdr:colOff>1249678</xdr:colOff>
      <xdr:row>2</xdr:row>
      <xdr:rowOff>514</xdr:rowOff>
    </xdr:to>
    <xdr:pic>
      <xdr:nvPicPr>
        <xdr:cNvPr id="19224285" name="Imagen 7">
          <a:extLst>
            <a:ext uri="{FF2B5EF4-FFF2-40B4-BE49-F238E27FC236}">
              <a16:creationId xmlns:a16="http://schemas.microsoft.com/office/drawing/2014/main" xmlns="" id="{00000000-0008-0000-0700-0000DD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3" y="66675"/>
          <a:ext cx="1097280" cy="101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0123137" name="3 Imagen" descr="logo.jpg">
          <a:extLst>
            <a:ext uri="{FF2B5EF4-FFF2-40B4-BE49-F238E27FC236}">
              <a16:creationId xmlns:a16="http://schemas.microsoft.com/office/drawing/2014/main" xmlns="" id="{00000000-0008-0000-0800-000001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317499</xdr:colOff>
      <xdr:row>25</xdr:row>
      <xdr:rowOff>25400</xdr:rowOff>
    </xdr:from>
    <xdr:to>
      <xdr:col>2</xdr:col>
      <xdr:colOff>993774</xdr:colOff>
      <xdr:row>40</xdr:row>
      <xdr:rowOff>120650</xdr:rowOff>
    </xdr:to>
    <xdr:graphicFrame macro="">
      <xdr:nvGraphicFramePr>
        <xdr:cNvPr id="20123138" name="Gráfico 1">
          <a:extLst>
            <a:ext uri="{FF2B5EF4-FFF2-40B4-BE49-F238E27FC236}">
              <a16:creationId xmlns:a16="http://schemas.microsoft.com/office/drawing/2014/main" xmlns="" id="{00000000-0008-0000-0800-000002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1362075</xdr:colOff>
      <xdr:row>35</xdr:row>
      <xdr:rowOff>152400</xdr:rowOff>
    </xdr:from>
    <xdr:to>
      <xdr:col>6</xdr:col>
      <xdr:colOff>1428750</xdr:colOff>
      <xdr:row>51</xdr:row>
      <xdr:rowOff>152400</xdr:rowOff>
    </xdr:to>
    <xdr:graphicFrame macro="">
      <xdr:nvGraphicFramePr>
        <xdr:cNvPr id="20123139" name="Gráfico 2">
          <a:extLst>
            <a:ext uri="{FF2B5EF4-FFF2-40B4-BE49-F238E27FC236}">
              <a16:creationId xmlns:a16="http://schemas.microsoft.com/office/drawing/2014/main" xmlns="" id="{00000000-0008-0000-0800-000003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704849</xdr:colOff>
      <xdr:row>0</xdr:row>
      <xdr:rowOff>47625</xdr:rowOff>
    </xdr:from>
    <xdr:to>
      <xdr:col>1</xdr:col>
      <xdr:colOff>1344929</xdr:colOff>
      <xdr:row>0</xdr:row>
      <xdr:rowOff>800000</xdr:rowOff>
    </xdr:to>
    <xdr:pic>
      <xdr:nvPicPr>
        <xdr:cNvPr id="20123140" name="3 Imagen" descr="E:\DOCUMENTOS LENIS\Memoria pasar\1Escudo.jpg">
          <a:extLst>
            <a:ext uri="{FF2B5EF4-FFF2-40B4-BE49-F238E27FC236}">
              <a16:creationId xmlns:a16="http://schemas.microsoft.com/office/drawing/2014/main" xmlns="" id="{00000000-0008-0000-0800-0000040E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" y="47625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0</xdr:rowOff>
    </xdr:from>
    <xdr:to>
      <xdr:col>6</xdr:col>
      <xdr:colOff>1259204</xdr:colOff>
      <xdr:row>0</xdr:row>
      <xdr:rowOff>833934</xdr:rowOff>
    </xdr:to>
    <xdr:pic>
      <xdr:nvPicPr>
        <xdr:cNvPr id="20123141" name="Imagen 7">
          <a:extLst>
            <a:ext uri="{FF2B5EF4-FFF2-40B4-BE49-F238E27FC236}">
              <a16:creationId xmlns:a16="http://schemas.microsoft.com/office/drawing/2014/main" xmlns="" id="{00000000-0008-0000-0800-000005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0"/>
          <a:ext cx="1011555" cy="83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2.1.SEGUIMIENTO_PLAN_DE_ACCI&#211;N_2021_3T_GOBIERN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3.4.SEGUIMIENTO_PLAN_DE_ACCI&#211;N_2021_3T_BIENES_Y_SUMINISTR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3.5.SEGUIMIENTO_PLAN_DE_ACCI&#211;N_2021_3T_PLANEAC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3.6.SEGUIMIENTO_PLAN_DE_ACCI&#211;N_2021_3T_CONTROL_INTERN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3.7SEGUIMIENTO_PLAN_DE_ACCI&#211;N_2021_3T_DACI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ana\Downloads\4.1.SEGUIMIENTO_PLAN_DE_ACCI&#211;N_2021_3T_FOMVIVIEND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PENDIENTES/4.2.SEGUIMIENTO_PLAN_DE_ACCI&#211;N_2021_3T_EDU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4.3.SEGUIMIENTO_PLAN_DE_ACCI&#211;N_2021_3T_CORPOCULTUR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4.5.SEGUIMIENTO_PLAN_DE_ACCI&#211;N_2021_3T_EPA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4.6.SEGUIMIENTO_PLAN_DE_ACCI&#211;N_2021_3T_AMABL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.9.SEGUIMIENTO_PLAN_DE_ACCI&#211;N_2021_3T_HACIEN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2.2.SEGUIMIENTO_PLAN_DE_ACCI&#211;N_2021_3T_SO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2.3.SEGUIMIENTO_PLAN_DE_ACCI&#211;N_2021_3T_SALU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2.4.SEGUIMIENTO_PLAN_DE_ACCI&#211;N_2021_3T_DECONOMI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2.5.SEGUIMIENTO_PLAN_DE_ACCI&#211;N_2021_3T_EDUCA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2.6.SEGUIMIENTO_PLAN_DE_ACCIO&#236;N_2021_3T_INFRAESTRUC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2.8.SEGUIMIENTO_PLAN_DE_ACCI&#211;N_2021_3T_TI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3.1.SEGUIMIENTO_PLAN_DE_ACCI&#211;N_2021_3T_FORTALECIMIENT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3.2.SEGUIMIENTO_PLAN_DE_ACCI&#211;N_2021_3T_JURID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GOBIERNO_3T_2021"/>
      <sheetName val="CONSOLIDADO"/>
    </sheetNames>
    <sheetDataSet>
      <sheetData sheetId="0" refreshError="1"/>
      <sheetData sheetId="1">
        <row r="56">
          <cell r="E56">
            <v>0.2</v>
          </cell>
          <cell r="F56">
            <v>0</v>
          </cell>
          <cell r="G56">
            <v>0</v>
          </cell>
        </row>
        <row r="57">
          <cell r="E57">
            <v>1</v>
          </cell>
          <cell r="F57">
            <v>80000000</v>
          </cell>
          <cell r="G57">
            <v>0</v>
          </cell>
        </row>
        <row r="58">
          <cell r="E58">
            <v>1</v>
          </cell>
          <cell r="F58">
            <v>30000000</v>
          </cell>
          <cell r="G58">
            <v>27283333</v>
          </cell>
        </row>
        <row r="59">
          <cell r="E59">
            <v>0.73</v>
          </cell>
          <cell r="F59">
            <v>473650359</v>
          </cell>
          <cell r="G59">
            <v>327539159</v>
          </cell>
        </row>
        <row r="60">
          <cell r="E60">
            <v>0.81</v>
          </cell>
          <cell r="F60">
            <v>681927000</v>
          </cell>
          <cell r="G60">
            <v>143043834</v>
          </cell>
        </row>
        <row r="61">
          <cell r="E61">
            <v>0.67</v>
          </cell>
          <cell r="F61">
            <v>6732206528</v>
          </cell>
          <cell r="G61">
            <v>3007869130.4699998</v>
          </cell>
        </row>
        <row r="62">
          <cell r="E62">
            <v>0.75</v>
          </cell>
          <cell r="F62">
            <v>420000000</v>
          </cell>
          <cell r="G62">
            <v>326794266</v>
          </cell>
        </row>
        <row r="63">
          <cell r="E63">
            <v>0.56000000000000005</v>
          </cell>
          <cell r="F63">
            <v>385420500</v>
          </cell>
          <cell r="G63">
            <v>304509666</v>
          </cell>
        </row>
        <row r="64">
          <cell r="E64">
            <v>1</v>
          </cell>
          <cell r="F64">
            <v>736336500</v>
          </cell>
          <cell r="G64">
            <v>588124565</v>
          </cell>
        </row>
        <row r="65">
          <cell r="E65">
            <v>0.51</v>
          </cell>
          <cell r="F65">
            <v>48000000</v>
          </cell>
          <cell r="G65">
            <v>30300000</v>
          </cell>
        </row>
        <row r="66">
          <cell r="E66">
            <v>1</v>
          </cell>
          <cell r="F66">
            <v>115740000</v>
          </cell>
          <cell r="G66">
            <v>57031866</v>
          </cell>
        </row>
        <row r="67">
          <cell r="E67">
            <v>0.56000000000000005</v>
          </cell>
          <cell r="F67">
            <v>70415000</v>
          </cell>
          <cell r="G67">
            <v>68005733</v>
          </cell>
        </row>
        <row r="68">
          <cell r="E68">
            <v>1</v>
          </cell>
          <cell r="F68">
            <v>340000000</v>
          </cell>
          <cell r="G68">
            <v>144500000</v>
          </cell>
        </row>
        <row r="69">
          <cell r="E69">
            <v>0.64</v>
          </cell>
          <cell r="F69">
            <v>7827030998</v>
          </cell>
          <cell r="G69">
            <v>1503751017.2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BIENES Y S_3T-2021"/>
      <sheetName val="CONSOLIDADO"/>
    </sheetNames>
    <sheetDataSet>
      <sheetData sheetId="0"/>
      <sheetData sheetId="1">
        <row r="24">
          <cell r="D24">
            <v>700749999</v>
          </cell>
          <cell r="E24">
            <v>680533331</v>
          </cell>
        </row>
        <row r="25">
          <cell r="D25">
            <v>121000000</v>
          </cell>
          <cell r="E25">
            <v>85452196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PLANEACION_3T_2021"/>
      <sheetName val="CONSOLIDADO"/>
    </sheetNames>
    <sheetDataSet>
      <sheetData sheetId="0" refreshError="1"/>
      <sheetData sheetId="1">
        <row r="117">
          <cell r="P117">
            <v>0.71879999999999999</v>
          </cell>
          <cell r="Q117">
            <v>1031821180</v>
          </cell>
          <cell r="R117">
            <v>296271180</v>
          </cell>
        </row>
        <row r="118">
          <cell r="P118">
            <v>0.91669999999999996</v>
          </cell>
          <cell r="Q118">
            <v>1134878820</v>
          </cell>
          <cell r="R118">
            <v>1114081771.2</v>
          </cell>
        </row>
        <row r="119">
          <cell r="P119">
            <v>0.75</v>
          </cell>
          <cell r="Q119">
            <v>1777186101</v>
          </cell>
          <cell r="R119">
            <v>46650000</v>
          </cell>
        </row>
        <row r="120">
          <cell r="P120">
            <v>0.65</v>
          </cell>
          <cell r="Q120">
            <v>911200000</v>
          </cell>
          <cell r="R120">
            <v>889950000</v>
          </cell>
        </row>
        <row r="121">
          <cell r="P121">
            <v>0.61670000000000003</v>
          </cell>
          <cell r="Q121">
            <v>44850000</v>
          </cell>
          <cell r="R121">
            <v>44850000</v>
          </cell>
        </row>
        <row r="122">
          <cell r="P122">
            <v>1</v>
          </cell>
          <cell r="Q122">
            <v>100000000</v>
          </cell>
          <cell r="R122">
            <v>100000000</v>
          </cell>
        </row>
        <row r="123">
          <cell r="P123">
            <v>0.9667</v>
          </cell>
          <cell r="Q123">
            <v>92400000</v>
          </cell>
          <cell r="R123">
            <v>89400000</v>
          </cell>
        </row>
        <row r="124">
          <cell r="P124">
            <v>0.6</v>
          </cell>
          <cell r="Q124">
            <v>49200000</v>
          </cell>
          <cell r="R124">
            <v>47550000</v>
          </cell>
        </row>
        <row r="125">
          <cell r="P125">
            <v>0.77559999999999996</v>
          </cell>
          <cell r="Q125">
            <v>2599150720</v>
          </cell>
          <cell r="R125">
            <v>1925347560.6199999</v>
          </cell>
        </row>
        <row r="126">
          <cell r="P126">
            <v>0.52890000000000004</v>
          </cell>
          <cell r="Q126">
            <v>69000000</v>
          </cell>
          <cell r="R126">
            <v>69000000</v>
          </cell>
        </row>
        <row r="127">
          <cell r="P127">
            <v>0.48799999999999999</v>
          </cell>
          <cell r="Q127">
            <v>0</v>
          </cell>
          <cell r="R127">
            <v>0</v>
          </cell>
        </row>
        <row r="128">
          <cell r="P128">
            <v>1</v>
          </cell>
          <cell r="Q128">
            <v>0</v>
          </cell>
          <cell r="R128">
            <v>0</v>
          </cell>
        </row>
        <row r="129">
          <cell r="P129">
            <v>0.37819999999999998</v>
          </cell>
          <cell r="Q129">
            <v>0</v>
          </cell>
          <cell r="R129">
            <v>0</v>
          </cell>
        </row>
        <row r="130">
          <cell r="P130">
            <v>0.72219999999999995</v>
          </cell>
          <cell r="Q130">
            <v>2401627319</v>
          </cell>
          <cell r="R130">
            <v>1550602692</v>
          </cell>
        </row>
        <row r="131">
          <cell r="P131">
            <v>0.6</v>
          </cell>
          <cell r="Q131">
            <v>42300000</v>
          </cell>
          <cell r="R131">
            <v>39800000</v>
          </cell>
        </row>
        <row r="132">
          <cell r="P132">
            <v>0.80700000000000005</v>
          </cell>
          <cell r="Q132">
            <v>695900000</v>
          </cell>
          <cell r="R132">
            <v>594990000</v>
          </cell>
        </row>
        <row r="133">
          <cell r="P133">
            <v>0.75</v>
          </cell>
          <cell r="Q133">
            <v>290647294</v>
          </cell>
          <cell r="R133">
            <v>91457000</v>
          </cell>
        </row>
        <row r="134">
          <cell r="P134">
            <v>0.91</v>
          </cell>
          <cell r="Q134">
            <v>690086193</v>
          </cell>
          <cell r="R134">
            <v>550295516</v>
          </cell>
        </row>
        <row r="135">
          <cell r="P135">
            <v>0.56279999999999997</v>
          </cell>
          <cell r="Q135">
            <v>188950000</v>
          </cell>
          <cell r="R135">
            <v>188950000</v>
          </cell>
        </row>
        <row r="136">
          <cell r="P136">
            <v>0.55000000000000004</v>
          </cell>
          <cell r="Q136">
            <v>50700000</v>
          </cell>
          <cell r="R136">
            <v>49050000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CONTROL_3T-2021"/>
      <sheetName val="CONSOLIDADO"/>
    </sheetNames>
    <sheetDataSet>
      <sheetData sheetId="0"/>
      <sheetData sheetId="1">
        <row r="15">
          <cell r="E15">
            <v>298500000</v>
          </cell>
          <cell r="F15">
            <v>286300000</v>
          </cell>
        </row>
        <row r="16">
          <cell r="E16">
            <v>216500000</v>
          </cell>
          <cell r="F16">
            <v>177100000</v>
          </cell>
        </row>
        <row r="17">
          <cell r="E17">
            <v>65000000</v>
          </cell>
          <cell r="F17">
            <v>51600000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ACID_3T_2021"/>
      <sheetName val="CONSOLIDADO"/>
    </sheetNames>
    <sheetDataSet>
      <sheetData sheetId="0" refreshError="1"/>
      <sheetData sheetId="1">
        <row r="14">
          <cell r="B14">
            <v>7</v>
          </cell>
          <cell r="C14">
            <v>0.76</v>
          </cell>
          <cell r="D14">
            <v>569495000</v>
          </cell>
          <cell r="E14">
            <v>439954390</v>
          </cell>
          <cell r="F14">
            <v>0.77253424525237269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FOMVIVIENDA_3T-2021"/>
      <sheetName val="CONSOLIDADO"/>
    </sheetNames>
    <sheetDataSet>
      <sheetData sheetId="0"/>
      <sheetData sheetId="1">
        <row r="25">
          <cell r="D25">
            <v>10000000</v>
          </cell>
          <cell r="E25">
            <v>10000000</v>
          </cell>
        </row>
        <row r="26">
          <cell r="D26">
            <v>185763602</v>
          </cell>
          <cell r="E26">
            <v>172067067</v>
          </cell>
        </row>
        <row r="27">
          <cell r="D27">
            <v>14500000</v>
          </cell>
          <cell r="E27">
            <v>8853333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EDUA_3T_2021"/>
    </sheetNames>
    <sheetDataSet>
      <sheetData sheetId="0">
        <row r="12">
          <cell r="S12">
            <v>1</v>
          </cell>
        </row>
        <row r="14">
          <cell r="S14">
            <v>0.88600000000000001</v>
          </cell>
          <cell r="V14">
            <v>56227563</v>
          </cell>
          <cell r="W14">
            <v>42938438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SEG_PA_CORPOCULTURA_3T-2021"/>
      <sheetName val="CONSOLIDADO"/>
      <sheetName val="Hoja2"/>
    </sheetNames>
    <sheetDataSet>
      <sheetData sheetId="0"/>
      <sheetData sheetId="1"/>
      <sheetData sheetId="2">
        <row r="39">
          <cell r="C39">
            <v>1</v>
          </cell>
        </row>
        <row r="40">
          <cell r="C40">
            <v>1</v>
          </cell>
        </row>
        <row r="41">
          <cell r="C41">
            <v>0</v>
          </cell>
        </row>
        <row r="42">
          <cell r="C42">
            <v>1</v>
          </cell>
        </row>
        <row r="43">
          <cell r="C43">
            <v>0.33333333333333331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0.58333333333333337</v>
          </cell>
        </row>
        <row r="47">
          <cell r="C47">
            <v>0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</v>
          </cell>
        </row>
        <row r="53">
          <cell r="C53">
            <v>0</v>
          </cell>
        </row>
        <row r="54">
          <cell r="C54">
            <v>1</v>
          </cell>
        </row>
        <row r="55">
          <cell r="C55">
            <v>0</v>
          </cell>
        </row>
        <row r="56">
          <cell r="C56">
            <v>1</v>
          </cell>
        </row>
        <row r="57">
          <cell r="C57">
            <v>0.4</v>
          </cell>
        </row>
        <row r="58">
          <cell r="C58">
            <v>0.30180632212744607</v>
          </cell>
        </row>
        <row r="59">
          <cell r="C59">
            <v>1</v>
          </cell>
        </row>
        <row r="60">
          <cell r="C60">
            <v>0</v>
          </cell>
        </row>
        <row r="61">
          <cell r="C61">
            <v>0</v>
          </cell>
        </row>
      </sheetData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EPA_3T_2021"/>
      <sheetName val="CONSOLIDADO"/>
    </sheetNames>
    <sheetDataSet>
      <sheetData sheetId="0" refreshError="1"/>
      <sheetData sheetId="1">
        <row r="236">
          <cell r="E236">
            <v>1</v>
          </cell>
          <cell r="F236">
            <v>1</v>
          </cell>
          <cell r="G236" t="str">
            <v>Actividades de Gestión</v>
          </cell>
          <cell r="H236" t="str">
            <v>Actividades de Gestión</v>
          </cell>
        </row>
        <row r="237">
          <cell r="E237">
            <v>1</v>
          </cell>
          <cell r="F237">
            <v>0.68632841789552612</v>
          </cell>
          <cell r="G237">
            <v>220000000</v>
          </cell>
          <cell r="H237">
            <v>153668218.36000001</v>
          </cell>
        </row>
        <row r="238">
          <cell r="E238">
            <v>3</v>
          </cell>
          <cell r="F238">
            <v>0.28999999999999998</v>
          </cell>
          <cell r="G238">
            <v>3332140248.7199998</v>
          </cell>
          <cell r="H238">
            <v>2180882046.2199998</v>
          </cell>
        </row>
        <row r="239">
          <cell r="E239">
            <v>2</v>
          </cell>
          <cell r="F239">
            <v>0.5</v>
          </cell>
          <cell r="G239">
            <v>1629000000</v>
          </cell>
          <cell r="H239">
            <v>60723024.020000003</v>
          </cell>
        </row>
        <row r="240">
          <cell r="E240">
            <v>3</v>
          </cell>
          <cell r="F240">
            <v>0.27</v>
          </cell>
          <cell r="G240">
            <v>350000000</v>
          </cell>
          <cell r="H240">
            <v>0</v>
          </cell>
        </row>
        <row r="241">
          <cell r="E241">
            <v>1</v>
          </cell>
          <cell r="F241">
            <v>0.52</v>
          </cell>
          <cell r="G241">
            <v>2023040000</v>
          </cell>
          <cell r="H241">
            <v>1073407182</v>
          </cell>
        </row>
        <row r="242">
          <cell r="E242">
            <v>1</v>
          </cell>
          <cell r="F242">
            <v>0.65</v>
          </cell>
          <cell r="G242">
            <v>1460000000</v>
          </cell>
          <cell r="H242">
            <v>1111506192.3099999</v>
          </cell>
        </row>
        <row r="243">
          <cell r="E243">
            <v>2</v>
          </cell>
          <cell r="F243">
            <v>0.5</v>
          </cell>
          <cell r="G243">
            <v>1543987415</v>
          </cell>
          <cell r="H243">
            <v>439659691.75999999</v>
          </cell>
        </row>
        <row r="244">
          <cell r="E244">
            <v>4</v>
          </cell>
          <cell r="F244">
            <v>0.24</v>
          </cell>
          <cell r="G244">
            <v>5385009507.7399998</v>
          </cell>
          <cell r="H244">
            <v>2239208314.4099998</v>
          </cell>
        </row>
        <row r="245">
          <cell r="E245">
            <v>1</v>
          </cell>
          <cell r="F245">
            <v>0.63</v>
          </cell>
          <cell r="G245">
            <v>1343000000</v>
          </cell>
          <cell r="H245">
            <v>1341928581.8599999</v>
          </cell>
        </row>
        <row r="246">
          <cell r="E246">
            <v>1</v>
          </cell>
          <cell r="F246">
            <v>0.5</v>
          </cell>
          <cell r="G246">
            <v>103000000</v>
          </cell>
          <cell r="H246">
            <v>34724199</v>
          </cell>
        </row>
        <row r="247">
          <cell r="E247">
            <v>1</v>
          </cell>
          <cell r="F247">
            <v>0.5</v>
          </cell>
          <cell r="G247">
            <v>488000000</v>
          </cell>
          <cell r="H247">
            <v>4728768</v>
          </cell>
        </row>
        <row r="248">
          <cell r="E248">
            <v>1</v>
          </cell>
          <cell r="F248">
            <v>0.83</v>
          </cell>
          <cell r="G248">
            <v>143000000</v>
          </cell>
          <cell r="H248">
            <v>134906616</v>
          </cell>
        </row>
        <row r="249">
          <cell r="E249">
            <v>1</v>
          </cell>
          <cell r="F249">
            <v>0.56000000000000005</v>
          </cell>
          <cell r="G249">
            <v>961000000</v>
          </cell>
          <cell r="H249">
            <v>704960575</v>
          </cell>
        </row>
        <row r="250">
          <cell r="E250">
            <v>1</v>
          </cell>
          <cell r="F250">
            <v>0.5</v>
          </cell>
          <cell r="G250" t="str">
            <v>Actividades de Gestión</v>
          </cell>
          <cell r="H250" t="str">
            <v>Actividades de Gestión</v>
          </cell>
        </row>
        <row r="251">
          <cell r="E251">
            <v>2</v>
          </cell>
          <cell r="F251">
            <v>0.75</v>
          </cell>
          <cell r="G251">
            <v>1000000000</v>
          </cell>
          <cell r="H251">
            <v>916498966.86000001</v>
          </cell>
        </row>
        <row r="252">
          <cell r="E252">
            <v>2</v>
          </cell>
          <cell r="F252">
            <v>0.49</v>
          </cell>
          <cell r="G252">
            <v>1200000000</v>
          </cell>
          <cell r="H252">
            <v>799485604.86000001</v>
          </cell>
        </row>
        <row r="253">
          <cell r="E253">
            <v>1</v>
          </cell>
          <cell r="F253">
            <v>0.75</v>
          </cell>
          <cell r="G253">
            <v>493300000</v>
          </cell>
          <cell r="H253">
            <v>228188700</v>
          </cell>
        </row>
        <row r="254">
          <cell r="E254">
            <v>1</v>
          </cell>
          <cell r="F254">
            <v>0.8</v>
          </cell>
          <cell r="G254">
            <v>469000000</v>
          </cell>
          <cell r="H254">
            <v>415768010</v>
          </cell>
        </row>
        <row r="255">
          <cell r="E255">
            <v>1</v>
          </cell>
          <cell r="F255">
            <v>0.5</v>
          </cell>
          <cell r="G255" t="str">
            <v xml:space="preserve">Actividades de Gestión </v>
          </cell>
          <cell r="H255" t="str">
            <v xml:space="preserve">Actividades de Gestión </v>
          </cell>
        </row>
        <row r="256">
          <cell r="E256">
            <v>1</v>
          </cell>
          <cell r="F256">
            <v>0</v>
          </cell>
          <cell r="G256" t="str">
            <v xml:space="preserve">Actividades de Gestión </v>
          </cell>
          <cell r="H256" t="str">
            <v xml:space="preserve">Actividades de Gestión </v>
          </cell>
        </row>
        <row r="257">
          <cell r="E257">
            <v>2</v>
          </cell>
          <cell r="F257">
            <v>0</v>
          </cell>
          <cell r="G257">
            <v>94540351</v>
          </cell>
          <cell r="H257">
            <v>0</v>
          </cell>
        </row>
        <row r="258">
          <cell r="E258">
            <v>1</v>
          </cell>
          <cell r="F258">
            <v>0.75</v>
          </cell>
          <cell r="G258" t="str">
            <v xml:space="preserve">Actividades de Gestión </v>
          </cell>
          <cell r="H258" t="str">
            <v xml:space="preserve">Actividades de Gestión </v>
          </cell>
        </row>
        <row r="259">
          <cell r="E259">
            <v>5</v>
          </cell>
          <cell r="F259">
            <v>0.76</v>
          </cell>
          <cell r="G259">
            <v>207746080</v>
          </cell>
          <cell r="H259">
            <v>97136100</v>
          </cell>
        </row>
        <row r="260">
          <cell r="E260">
            <v>1</v>
          </cell>
          <cell r="F260">
            <v>0.57999999999999996</v>
          </cell>
          <cell r="G260">
            <v>25423552</v>
          </cell>
          <cell r="H260">
            <v>23200000</v>
          </cell>
        </row>
        <row r="261">
          <cell r="E261">
            <v>1</v>
          </cell>
          <cell r="F261">
            <v>0.75</v>
          </cell>
          <cell r="G261" t="str">
            <v xml:space="preserve">Actividades de Gestión </v>
          </cell>
          <cell r="H261" t="str">
            <v xml:space="preserve">Actividades de Gestión </v>
          </cell>
        </row>
        <row r="262">
          <cell r="E262">
            <v>1</v>
          </cell>
          <cell r="F262">
            <v>0.94</v>
          </cell>
          <cell r="G262">
            <v>6355888</v>
          </cell>
          <cell r="H262">
            <v>5800000</v>
          </cell>
        </row>
        <row r="263">
          <cell r="E263">
            <v>1</v>
          </cell>
          <cell r="F263">
            <v>0.74</v>
          </cell>
          <cell r="G263">
            <v>234935382</v>
          </cell>
          <cell r="H263">
            <v>176765700</v>
          </cell>
        </row>
        <row r="264">
          <cell r="E264">
            <v>3</v>
          </cell>
          <cell r="F264">
            <v>0.43</v>
          </cell>
          <cell r="G264">
            <v>765549633</v>
          </cell>
          <cell r="H264">
            <v>446972530</v>
          </cell>
        </row>
        <row r="265">
          <cell r="E265">
            <v>14</v>
          </cell>
          <cell r="F265">
            <v>0.57999999999999996</v>
          </cell>
          <cell r="G265">
            <v>1732182967</v>
          </cell>
          <cell r="H265">
            <v>1467202375</v>
          </cell>
        </row>
        <row r="266">
          <cell r="E266">
            <v>1</v>
          </cell>
          <cell r="F266">
            <v>0.5</v>
          </cell>
          <cell r="G266" t="str">
            <v>Actividades de Gestión</v>
          </cell>
          <cell r="H266" t="str">
            <v>Actividades de Gestión</v>
          </cell>
        </row>
        <row r="267">
          <cell r="E267">
            <v>4</v>
          </cell>
          <cell r="F267">
            <v>0.52</v>
          </cell>
          <cell r="G267">
            <v>246800000</v>
          </cell>
          <cell r="H267">
            <v>47341878</v>
          </cell>
        </row>
        <row r="268">
          <cell r="E268">
            <v>3</v>
          </cell>
          <cell r="F268">
            <v>0.87</v>
          </cell>
          <cell r="G268">
            <v>599270579</v>
          </cell>
          <cell r="H268">
            <v>587918381.00999999</v>
          </cell>
        </row>
        <row r="269">
          <cell r="E269">
            <v>4</v>
          </cell>
          <cell r="F269">
            <v>0.69</v>
          </cell>
          <cell r="G269">
            <v>962203644</v>
          </cell>
          <cell r="H269">
            <v>955835503.12</v>
          </cell>
        </row>
        <row r="270">
          <cell r="E270">
            <v>2</v>
          </cell>
          <cell r="F270">
            <v>1</v>
          </cell>
          <cell r="G270">
            <v>120000000</v>
          </cell>
          <cell r="H270">
            <v>120000000</v>
          </cell>
        </row>
        <row r="271">
          <cell r="E271">
            <v>7</v>
          </cell>
          <cell r="F271">
            <v>0.63</v>
          </cell>
          <cell r="G271" t="str">
            <v>Actividades de Gestión</v>
          </cell>
          <cell r="H271" t="str">
            <v>Actividades de Gestión</v>
          </cell>
        </row>
        <row r="272">
          <cell r="E272">
            <v>3</v>
          </cell>
          <cell r="F272">
            <v>0.75</v>
          </cell>
          <cell r="G272" t="str">
            <v xml:space="preserve">Actividades de Gestión </v>
          </cell>
          <cell r="H272" t="str">
            <v xml:space="preserve">Actividades de Gestión </v>
          </cell>
        </row>
        <row r="273">
          <cell r="E273">
            <v>1</v>
          </cell>
          <cell r="F273">
            <v>0.87</v>
          </cell>
          <cell r="G273">
            <v>35000000</v>
          </cell>
          <cell r="H273">
            <v>19938300</v>
          </cell>
        </row>
        <row r="274">
          <cell r="E274">
            <v>2</v>
          </cell>
          <cell r="F274">
            <v>0.38</v>
          </cell>
          <cell r="G274">
            <v>35000000</v>
          </cell>
          <cell r="H274">
            <v>19938300</v>
          </cell>
        </row>
        <row r="275">
          <cell r="E275">
            <v>2</v>
          </cell>
          <cell r="F275">
            <v>0.5</v>
          </cell>
          <cell r="G275">
            <v>230000000</v>
          </cell>
          <cell r="H275">
            <v>149311300</v>
          </cell>
        </row>
        <row r="276">
          <cell r="E276">
            <v>2</v>
          </cell>
          <cell r="F276">
            <v>0.5</v>
          </cell>
          <cell r="G276">
            <v>70000000</v>
          </cell>
          <cell r="H276">
            <v>22709904</v>
          </cell>
        </row>
        <row r="277">
          <cell r="E277">
            <v>1</v>
          </cell>
          <cell r="F277">
            <v>0</v>
          </cell>
          <cell r="G277">
            <v>70000000</v>
          </cell>
          <cell r="H277">
            <v>0</v>
          </cell>
        </row>
        <row r="278">
          <cell r="E278">
            <v>3</v>
          </cell>
          <cell r="F278">
            <v>0.82</v>
          </cell>
          <cell r="G278" t="str">
            <v xml:space="preserve">Actividades de Gestión </v>
          </cell>
          <cell r="H278" t="str">
            <v xml:space="preserve">Actividades de Gestión </v>
          </cell>
        </row>
        <row r="279">
          <cell r="E279">
            <v>1</v>
          </cell>
          <cell r="F279">
            <v>0.83</v>
          </cell>
          <cell r="G279" t="str">
            <v xml:space="preserve">Actividades de Gestión </v>
          </cell>
          <cell r="H279" t="str">
            <v xml:space="preserve">Actividades de Gestión </v>
          </cell>
        </row>
        <row r="280">
          <cell r="E280">
            <v>1</v>
          </cell>
          <cell r="F280">
            <v>0.83</v>
          </cell>
          <cell r="G280" t="str">
            <v xml:space="preserve">Actividades de Gestión </v>
          </cell>
          <cell r="H280" t="str">
            <v xml:space="preserve">Actividades de Gestión </v>
          </cell>
        </row>
        <row r="281">
          <cell r="E281">
            <v>1</v>
          </cell>
          <cell r="F281">
            <v>0.72</v>
          </cell>
          <cell r="G281" t="str">
            <v xml:space="preserve">Actividades de Gestión </v>
          </cell>
          <cell r="H281" t="str">
            <v xml:space="preserve">Actividades de Gestión </v>
          </cell>
        </row>
        <row r="282">
          <cell r="E282">
            <v>6</v>
          </cell>
          <cell r="F282">
            <v>0.76</v>
          </cell>
          <cell r="G282" t="str">
            <v xml:space="preserve">Actividades de Gestión </v>
          </cell>
          <cell r="H282" t="str">
            <v xml:space="preserve">Actividades de Gestión </v>
          </cell>
        </row>
        <row r="283">
          <cell r="E283">
            <v>1</v>
          </cell>
          <cell r="F283">
            <v>0.76</v>
          </cell>
          <cell r="G283" t="str">
            <v xml:space="preserve">Actividades de Gestión </v>
          </cell>
          <cell r="H283" t="str">
            <v xml:space="preserve">Actividades de Gestión </v>
          </cell>
        </row>
        <row r="284">
          <cell r="E284">
            <v>10</v>
          </cell>
          <cell r="F284">
            <v>0.57999999999999996</v>
          </cell>
          <cell r="G284">
            <v>190000000</v>
          </cell>
          <cell r="H284">
            <v>66621000</v>
          </cell>
        </row>
        <row r="285">
          <cell r="E285">
            <v>5</v>
          </cell>
          <cell r="F285">
            <v>0.65</v>
          </cell>
          <cell r="G285">
            <v>30000000</v>
          </cell>
          <cell r="H285">
            <v>16792300</v>
          </cell>
        </row>
        <row r="286">
          <cell r="E286">
            <v>3</v>
          </cell>
          <cell r="F286">
            <v>0.33</v>
          </cell>
          <cell r="G286">
            <v>120000000</v>
          </cell>
          <cell r="H286">
            <v>68875888</v>
          </cell>
        </row>
        <row r="287">
          <cell r="E287">
            <v>4</v>
          </cell>
          <cell r="F287">
            <v>0.62</v>
          </cell>
          <cell r="G287">
            <v>400000000</v>
          </cell>
          <cell r="H287">
            <v>301393233</v>
          </cell>
        </row>
        <row r="288">
          <cell r="E288">
            <v>1</v>
          </cell>
          <cell r="F288">
            <v>0.75</v>
          </cell>
          <cell r="G288">
            <v>50000000</v>
          </cell>
          <cell r="H288">
            <v>26304757</v>
          </cell>
        </row>
        <row r="289">
          <cell r="E289">
            <v>4</v>
          </cell>
          <cell r="F289">
            <v>0.63</v>
          </cell>
          <cell r="G289">
            <v>962768396.83000004</v>
          </cell>
          <cell r="H289">
            <v>431552442.68000001</v>
          </cell>
        </row>
        <row r="290">
          <cell r="E290">
            <v>1</v>
          </cell>
          <cell r="F290">
            <v>0.39</v>
          </cell>
          <cell r="G290">
            <v>1050000000</v>
          </cell>
          <cell r="H290">
            <v>227312442</v>
          </cell>
        </row>
        <row r="291">
          <cell r="E291">
            <v>2</v>
          </cell>
          <cell r="F291">
            <v>0.75</v>
          </cell>
          <cell r="G291" t="str">
            <v xml:space="preserve">Actividades de Gestión </v>
          </cell>
          <cell r="H291" t="str">
            <v xml:space="preserve">Actividades de Gestión </v>
          </cell>
        </row>
        <row r="292">
          <cell r="E292">
            <v>1</v>
          </cell>
          <cell r="F292">
            <v>0.4</v>
          </cell>
          <cell r="G292" t="str">
            <v xml:space="preserve">Actividades de Gestión </v>
          </cell>
          <cell r="H292" t="str">
            <v xml:space="preserve">Actividades de Gestión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AMABLE_3T-2021"/>
      <sheetName val="CONSOLIDADO"/>
    </sheetNames>
    <sheetDataSet>
      <sheetData sheetId="0"/>
      <sheetData sheetId="1">
        <row r="24">
          <cell r="C24">
            <v>0.37</v>
          </cell>
        </row>
        <row r="25">
          <cell r="C25">
            <v>0.2</v>
          </cell>
        </row>
        <row r="26">
          <cell r="C26">
            <v>0.3</v>
          </cell>
        </row>
        <row r="27">
          <cell r="C27">
            <v>1</v>
          </cell>
        </row>
        <row r="28">
          <cell r="C28">
            <v>1</v>
          </cell>
        </row>
        <row r="29">
          <cell r="C29">
            <v>0.73076923076923073</v>
          </cell>
        </row>
        <row r="30">
          <cell r="C30">
            <v>1</v>
          </cell>
        </row>
        <row r="31">
          <cell r="C31">
            <v>0.22500000000000001</v>
          </cell>
        </row>
        <row r="32">
          <cell r="C32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HACIENDA_3T-2021"/>
      <sheetName val="CONSOLIDADO"/>
    </sheetNames>
    <sheetDataSet>
      <sheetData sheetId="0"/>
      <sheetData sheetId="1">
        <row r="29">
          <cell r="D29">
            <v>5541681108</v>
          </cell>
          <cell r="E29">
            <v>4188818996.5500002</v>
          </cell>
        </row>
        <row r="30">
          <cell r="D30">
            <v>100000000</v>
          </cell>
          <cell r="E30">
            <v>0</v>
          </cell>
        </row>
        <row r="31">
          <cell r="D31">
            <v>4699423434</v>
          </cell>
          <cell r="E31">
            <v>4698860000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ESOCIAL_3T"/>
      <sheetName val="CONSOLIDADO"/>
    </sheetNames>
    <sheetDataSet>
      <sheetData sheetId="0" refreshError="1"/>
      <sheetData sheetId="1">
        <row r="287">
          <cell r="F287">
            <v>8</v>
          </cell>
          <cell r="G287">
            <v>0.65</v>
          </cell>
          <cell r="H287">
            <v>62700000</v>
          </cell>
          <cell r="I287">
            <v>8431368</v>
          </cell>
        </row>
        <row r="288">
          <cell r="F288">
            <v>14</v>
          </cell>
          <cell r="G288">
            <v>0.54</v>
          </cell>
          <cell r="H288">
            <v>207518266</v>
          </cell>
          <cell r="I288">
            <v>99473229</v>
          </cell>
        </row>
        <row r="289">
          <cell r="F289">
            <v>12</v>
          </cell>
          <cell r="G289">
            <v>0.6</v>
          </cell>
          <cell r="H289">
            <v>169400000</v>
          </cell>
          <cell r="I289">
            <v>115415925</v>
          </cell>
        </row>
        <row r="290">
          <cell r="F290">
            <v>24</v>
          </cell>
          <cell r="G290">
            <v>0.66</v>
          </cell>
          <cell r="H290">
            <v>208017000</v>
          </cell>
          <cell r="I290">
            <v>64046818</v>
          </cell>
        </row>
        <row r="291">
          <cell r="F291">
            <v>19</v>
          </cell>
          <cell r="G291">
            <v>0.59</v>
          </cell>
          <cell r="H291">
            <v>230418095</v>
          </cell>
          <cell r="I291">
            <v>120598839</v>
          </cell>
        </row>
        <row r="292">
          <cell r="F292">
            <v>19</v>
          </cell>
          <cell r="G292">
            <v>0.45</v>
          </cell>
          <cell r="H292">
            <v>75000000</v>
          </cell>
          <cell r="I292">
            <v>60499998</v>
          </cell>
        </row>
        <row r="293">
          <cell r="F293">
            <v>22</v>
          </cell>
          <cell r="G293">
            <v>0.62</v>
          </cell>
          <cell r="H293">
            <v>382767000</v>
          </cell>
          <cell r="I293">
            <v>133993484</v>
          </cell>
        </row>
        <row r="294">
          <cell r="F294">
            <v>7</v>
          </cell>
          <cell r="G294">
            <v>0.67</v>
          </cell>
          <cell r="H294">
            <v>6049257892.46</v>
          </cell>
          <cell r="I294">
            <v>2568064712.6599998</v>
          </cell>
        </row>
        <row r="295">
          <cell r="F295">
            <v>25</v>
          </cell>
          <cell r="G295">
            <v>0.7</v>
          </cell>
          <cell r="H295">
            <v>622412493</v>
          </cell>
          <cell r="I295">
            <v>257859159</v>
          </cell>
        </row>
        <row r="296">
          <cell r="F296">
            <v>22</v>
          </cell>
          <cell r="G296">
            <v>0.52</v>
          </cell>
          <cell r="H296">
            <v>324324000</v>
          </cell>
          <cell r="I296">
            <v>135440150</v>
          </cell>
        </row>
        <row r="297">
          <cell r="F297">
            <v>27</v>
          </cell>
          <cell r="G297">
            <v>0.55000000000000004</v>
          </cell>
          <cell r="H297">
            <v>181200000</v>
          </cell>
          <cell r="I297">
            <v>98017213</v>
          </cell>
        </row>
        <row r="298">
          <cell r="F298">
            <v>1</v>
          </cell>
          <cell r="G298">
            <v>0.75</v>
          </cell>
          <cell r="H298">
            <v>220530000</v>
          </cell>
          <cell r="I298">
            <v>153220000</v>
          </cell>
        </row>
        <row r="299">
          <cell r="F299">
            <v>24</v>
          </cell>
          <cell r="G299">
            <v>0.51</v>
          </cell>
          <cell r="H299">
            <v>294025000</v>
          </cell>
          <cell r="I299">
            <v>183041665</v>
          </cell>
        </row>
        <row r="300">
          <cell r="F300">
            <v>7</v>
          </cell>
          <cell r="G300">
            <v>0.45</v>
          </cell>
          <cell r="H300">
            <v>110715787</v>
          </cell>
          <cell r="I300">
            <v>26400000</v>
          </cell>
        </row>
        <row r="301">
          <cell r="F301">
            <v>6</v>
          </cell>
          <cell r="G301">
            <v>0.5</v>
          </cell>
          <cell r="H301">
            <v>2767584761</v>
          </cell>
          <cell r="I301">
            <v>0</v>
          </cell>
        </row>
        <row r="302">
          <cell r="F302">
            <v>16</v>
          </cell>
          <cell r="G302">
            <v>0.84</v>
          </cell>
          <cell r="H302">
            <v>282173094</v>
          </cell>
          <cell r="I302">
            <v>236741665</v>
          </cell>
        </row>
        <row r="303">
          <cell r="F303">
            <v>20</v>
          </cell>
          <cell r="G303">
            <v>0.35</v>
          </cell>
          <cell r="H303">
            <v>226252969</v>
          </cell>
          <cell r="I303">
            <v>156791668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SALUD_3T_2021"/>
      <sheetName val="CONSOLIDADO"/>
    </sheetNames>
    <sheetDataSet>
      <sheetData sheetId="0" refreshError="1"/>
      <sheetData sheetId="1">
        <row r="115">
          <cell r="D115">
            <v>1</v>
          </cell>
          <cell r="E115">
            <v>107352000</v>
          </cell>
          <cell r="F115">
            <v>93399997</v>
          </cell>
        </row>
        <row r="116">
          <cell r="D116">
            <v>1</v>
          </cell>
          <cell r="E116">
            <v>81589000</v>
          </cell>
          <cell r="F116">
            <v>40800000</v>
          </cell>
        </row>
        <row r="117">
          <cell r="D117">
            <v>1</v>
          </cell>
          <cell r="E117">
            <v>556415332</v>
          </cell>
          <cell r="F117">
            <v>351266665</v>
          </cell>
        </row>
        <row r="118">
          <cell r="D118">
            <v>0.75</v>
          </cell>
          <cell r="E118">
            <v>146152136194</v>
          </cell>
          <cell r="F118">
            <v>97190219701.460007</v>
          </cell>
        </row>
        <row r="119">
          <cell r="D119">
            <v>0.88</v>
          </cell>
          <cell r="E119">
            <v>535276921</v>
          </cell>
          <cell r="F119">
            <v>414643683</v>
          </cell>
        </row>
        <row r="120">
          <cell r="D120">
            <v>0.76</v>
          </cell>
          <cell r="E120">
            <v>85500000</v>
          </cell>
          <cell r="F120">
            <v>76499999</v>
          </cell>
        </row>
        <row r="121">
          <cell r="D121">
            <v>0.75</v>
          </cell>
          <cell r="E121">
            <v>91000000</v>
          </cell>
          <cell r="F121">
            <v>79000000</v>
          </cell>
        </row>
        <row r="122">
          <cell r="D122">
            <v>0.67</v>
          </cell>
          <cell r="E122">
            <v>165993731</v>
          </cell>
          <cell r="F122">
            <v>141600000</v>
          </cell>
        </row>
        <row r="123">
          <cell r="D123">
            <v>0.56999999999999995</v>
          </cell>
          <cell r="E123">
            <v>323622290</v>
          </cell>
          <cell r="F123">
            <v>301570000</v>
          </cell>
        </row>
        <row r="124">
          <cell r="D124">
            <v>0.51</v>
          </cell>
          <cell r="E124">
            <v>254955334</v>
          </cell>
          <cell r="F124">
            <v>222400000</v>
          </cell>
        </row>
        <row r="125">
          <cell r="D125">
            <v>0.75</v>
          </cell>
          <cell r="E125">
            <v>370000000</v>
          </cell>
          <cell r="F125">
            <v>370000000</v>
          </cell>
        </row>
        <row r="126">
          <cell r="D126">
            <v>0.44</v>
          </cell>
          <cell r="E126">
            <v>226377500</v>
          </cell>
          <cell r="F126">
            <v>174750000</v>
          </cell>
        </row>
        <row r="127">
          <cell r="D127">
            <v>0.5</v>
          </cell>
          <cell r="E127">
            <v>164397333</v>
          </cell>
          <cell r="F127">
            <v>127600000</v>
          </cell>
        </row>
        <row r="128">
          <cell r="D128">
            <v>0.55000000000000004</v>
          </cell>
          <cell r="E128">
            <v>428833333</v>
          </cell>
          <cell r="F128">
            <v>361800000</v>
          </cell>
        </row>
        <row r="129">
          <cell r="D129">
            <v>0.38</v>
          </cell>
          <cell r="E129">
            <v>633936291</v>
          </cell>
          <cell r="F129">
            <v>595777099</v>
          </cell>
        </row>
        <row r="130">
          <cell r="D130">
            <v>0.65</v>
          </cell>
          <cell r="E130">
            <v>390771708</v>
          </cell>
          <cell r="F130">
            <v>303840000</v>
          </cell>
        </row>
        <row r="131">
          <cell r="D131">
            <v>0.62</v>
          </cell>
          <cell r="E131">
            <v>294712000</v>
          </cell>
          <cell r="F131">
            <v>206450000</v>
          </cell>
        </row>
        <row r="132">
          <cell r="D132">
            <v>0.75</v>
          </cell>
          <cell r="E132">
            <v>81154160</v>
          </cell>
          <cell r="F132">
            <v>64206662</v>
          </cell>
        </row>
        <row r="133">
          <cell r="D133">
            <v>0.71</v>
          </cell>
          <cell r="E133">
            <v>1015459206</v>
          </cell>
          <cell r="F133">
            <v>858290151</v>
          </cell>
        </row>
        <row r="134">
          <cell r="D134">
            <v>0.72</v>
          </cell>
          <cell r="E134">
            <v>197064000</v>
          </cell>
          <cell r="F134">
            <v>171283333</v>
          </cell>
        </row>
        <row r="135">
          <cell r="D135">
            <v>0.99</v>
          </cell>
          <cell r="E135">
            <v>132744000</v>
          </cell>
          <cell r="F135">
            <v>108200000</v>
          </cell>
        </row>
        <row r="136">
          <cell r="D136">
            <v>0.33</v>
          </cell>
          <cell r="E136">
            <v>1447952600</v>
          </cell>
          <cell r="F136">
            <v>997920000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ECONOMICO_3T_2021"/>
      <sheetName val="CONSOLIDADO"/>
    </sheetNames>
    <sheetDataSet>
      <sheetData sheetId="0"/>
      <sheetData sheetId="1">
        <row r="50">
          <cell r="F50">
            <v>1600000000</v>
          </cell>
          <cell r="G50">
            <v>1474410141.72</v>
          </cell>
        </row>
        <row r="51">
          <cell r="F51">
            <v>1172169160</v>
          </cell>
          <cell r="G51">
            <v>742066666</v>
          </cell>
        </row>
        <row r="52">
          <cell r="F52">
            <v>1558600800</v>
          </cell>
          <cell r="G52">
            <v>502677103</v>
          </cell>
        </row>
        <row r="53">
          <cell r="F53" t="str">
            <v xml:space="preserve">Actividades de Gestión </v>
          </cell>
          <cell r="G53" t="str">
            <v xml:space="preserve">Actividades de Gestión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EDUCACIÓN-3T-2021"/>
      <sheetName val="CONSOLIDADO"/>
    </sheetNames>
    <sheetDataSet>
      <sheetData sheetId="0"/>
      <sheetData sheetId="1">
        <row r="57">
          <cell r="H57">
            <v>127023483125</v>
          </cell>
          <cell r="I57">
            <v>90305495934</v>
          </cell>
        </row>
        <row r="73">
          <cell r="H73">
            <v>1329000000</v>
          </cell>
          <cell r="I73">
            <v>1171682766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INFRAESTRUCTURA_3T_2021"/>
      <sheetName val="CONS0LIDADO"/>
    </sheetNames>
    <sheetDataSet>
      <sheetData sheetId="0" refreshError="1"/>
      <sheetData sheetId="1">
        <row r="119">
          <cell r="G119">
            <v>2</v>
          </cell>
          <cell r="H119">
            <v>0.22500000000000001</v>
          </cell>
          <cell r="I119">
            <v>930000000</v>
          </cell>
          <cell r="J119">
            <v>0</v>
          </cell>
        </row>
        <row r="120">
          <cell r="G120">
            <v>1</v>
          </cell>
          <cell r="H120">
            <v>0.6</v>
          </cell>
          <cell r="I120">
            <v>320000000</v>
          </cell>
          <cell r="J120">
            <v>319000028</v>
          </cell>
        </row>
        <row r="121">
          <cell r="G121">
            <v>1</v>
          </cell>
          <cell r="H121">
            <v>0</v>
          </cell>
          <cell r="I121">
            <v>0</v>
          </cell>
          <cell r="J121">
            <v>0</v>
          </cell>
        </row>
        <row r="122">
          <cell r="G122">
            <v>6</v>
          </cell>
          <cell r="H122">
            <v>0.34849999999999998</v>
          </cell>
          <cell r="I122">
            <v>13605722198</v>
          </cell>
          <cell r="J122">
            <v>9848453491.0200005</v>
          </cell>
        </row>
        <row r="123">
          <cell r="G123">
            <v>33</v>
          </cell>
          <cell r="H123">
            <v>0.58940000000000003</v>
          </cell>
          <cell r="I123">
            <v>38904017651.300003</v>
          </cell>
          <cell r="J123">
            <v>12206874563.790001</v>
          </cell>
        </row>
        <row r="124">
          <cell r="G124">
            <v>1</v>
          </cell>
          <cell r="H124">
            <v>0</v>
          </cell>
          <cell r="I124">
            <v>0</v>
          </cell>
          <cell r="J124">
            <v>0</v>
          </cell>
        </row>
        <row r="125">
          <cell r="G125">
            <v>2</v>
          </cell>
          <cell r="H125">
            <v>0</v>
          </cell>
          <cell r="I125">
            <v>0</v>
          </cell>
          <cell r="J125">
            <v>0</v>
          </cell>
        </row>
        <row r="126">
          <cell r="G126">
            <v>7</v>
          </cell>
          <cell r="H126">
            <v>0.47499999999999998</v>
          </cell>
          <cell r="I126">
            <v>6417218627.9499998</v>
          </cell>
          <cell r="J126">
            <v>410666624.94999999</v>
          </cell>
        </row>
        <row r="127">
          <cell r="G127">
            <v>1</v>
          </cell>
          <cell r="H127">
            <v>0.04</v>
          </cell>
          <cell r="I127">
            <v>80000000</v>
          </cell>
          <cell r="J127">
            <v>0</v>
          </cell>
        </row>
        <row r="128">
          <cell r="G128">
            <v>18</v>
          </cell>
          <cell r="H128">
            <v>0.57130000000000003</v>
          </cell>
          <cell r="I128">
            <v>2145157108.999999</v>
          </cell>
          <cell r="J128">
            <v>1053903109</v>
          </cell>
        </row>
        <row r="129">
          <cell r="G129">
            <v>1</v>
          </cell>
          <cell r="H129">
            <v>0</v>
          </cell>
          <cell r="I129">
            <v>0</v>
          </cell>
          <cell r="J129">
            <v>0</v>
          </cell>
        </row>
        <row r="130">
          <cell r="G130">
            <v>4</v>
          </cell>
          <cell r="H130">
            <v>0.25750000000000001</v>
          </cell>
          <cell r="I130">
            <v>150000000</v>
          </cell>
          <cell r="J130">
            <v>22400000</v>
          </cell>
        </row>
        <row r="131">
          <cell r="G131">
            <v>1</v>
          </cell>
          <cell r="H131">
            <v>0</v>
          </cell>
          <cell r="I131">
            <v>0</v>
          </cell>
          <cell r="J131">
            <v>0</v>
          </cell>
        </row>
        <row r="132">
          <cell r="G132">
            <v>1</v>
          </cell>
          <cell r="H132">
            <v>1</v>
          </cell>
          <cell r="I132">
            <v>57000000</v>
          </cell>
          <cell r="J132">
            <v>42752435</v>
          </cell>
        </row>
        <row r="133">
          <cell r="G133">
            <v>1</v>
          </cell>
          <cell r="H133">
            <v>0.5</v>
          </cell>
          <cell r="I133">
            <v>144916572.75</v>
          </cell>
          <cell r="J133">
            <v>0</v>
          </cell>
        </row>
        <row r="134">
          <cell r="G134">
            <v>3</v>
          </cell>
          <cell r="H134">
            <v>0.25</v>
          </cell>
          <cell r="I134">
            <v>576420191</v>
          </cell>
          <cell r="J134">
            <v>0</v>
          </cell>
        </row>
        <row r="135">
          <cell r="G135">
            <v>1</v>
          </cell>
          <cell r="H135">
            <v>5.0000000000000001E-3</v>
          </cell>
          <cell r="I135">
            <v>100000000</v>
          </cell>
          <cell r="J135">
            <v>0</v>
          </cell>
        </row>
        <row r="136">
          <cell r="G136">
            <v>1</v>
          </cell>
          <cell r="H136">
            <v>0</v>
          </cell>
          <cell r="I136">
            <v>5401225878</v>
          </cell>
          <cell r="J136">
            <v>1157711071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TIC_3T_2021"/>
      <sheetName val="CONSOLIDADO"/>
    </sheetNames>
    <sheetDataSet>
      <sheetData sheetId="0" refreshError="1"/>
      <sheetData sheetId="1">
        <row r="22">
          <cell r="D22">
            <v>0.79449999999999998</v>
          </cell>
          <cell r="E22">
            <v>717289450</v>
          </cell>
          <cell r="F22">
            <v>331653270</v>
          </cell>
        </row>
        <row r="23">
          <cell r="D23">
            <v>0.4</v>
          </cell>
          <cell r="E23">
            <v>145000000</v>
          </cell>
          <cell r="F23">
            <v>0</v>
          </cell>
        </row>
        <row r="24">
          <cell r="D24">
            <v>0.9</v>
          </cell>
          <cell r="E24">
            <v>1830000000</v>
          </cell>
          <cell r="F24">
            <v>730197518.81999993</v>
          </cell>
        </row>
        <row r="25">
          <cell r="D25">
            <v>0.3</v>
          </cell>
          <cell r="E25">
            <v>45000000</v>
          </cell>
          <cell r="F25">
            <v>0</v>
          </cell>
        </row>
        <row r="26">
          <cell r="D26">
            <v>0.5</v>
          </cell>
          <cell r="E26">
            <v>70000000</v>
          </cell>
          <cell r="F2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FORTALECIMIENTO_3T-2021"/>
      <sheetName val="CONSOLIDADO"/>
    </sheetNames>
    <sheetDataSet>
      <sheetData sheetId="0"/>
      <sheetData sheetId="1">
        <row r="21">
          <cell r="E21">
            <v>1040980000</v>
          </cell>
          <cell r="F21">
            <v>720242921</v>
          </cell>
        </row>
        <row r="22">
          <cell r="E22">
            <v>454000000</v>
          </cell>
          <cell r="F22">
            <v>211050000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JURIDICO_3T-2021"/>
      <sheetName val="CONSOLIDADO"/>
    </sheetNames>
    <sheetDataSet>
      <sheetData sheetId="0"/>
      <sheetData sheetId="1">
        <row r="18">
          <cell r="E18">
            <v>1334800000</v>
          </cell>
          <cell r="F18">
            <v>1071119778.67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9"/>
  <sheetViews>
    <sheetView view="pageBreakPreview" topLeftCell="C10" zoomScaleNormal="77" zoomScaleSheetLayoutView="100" workbookViewId="0">
      <selection activeCell="H14" sqref="H14"/>
    </sheetView>
  </sheetViews>
  <sheetFormatPr baseColWidth="10" defaultColWidth="11.42578125" defaultRowHeight="18.75" x14ac:dyDescent="0.3"/>
  <cols>
    <col min="1" max="1" width="3.42578125" style="279" customWidth="1"/>
    <col min="2" max="2" width="67" style="279" customWidth="1"/>
    <col min="3" max="4" width="20.7109375" style="279" customWidth="1"/>
    <col min="5" max="5" width="36.140625" style="307" customWidth="1"/>
    <col min="6" max="6" width="37" style="307" customWidth="1"/>
    <col min="7" max="7" width="27.85546875" style="279" customWidth="1"/>
    <col min="8" max="8" width="16.42578125" style="279" customWidth="1"/>
    <col min="9" max="9" width="12.85546875" style="279" customWidth="1"/>
    <col min="10" max="16384" width="11.42578125" style="279"/>
  </cols>
  <sheetData>
    <row r="1" spans="1:7" ht="75" customHeight="1" thickBot="1" x14ac:dyDescent="0.35">
      <c r="B1" s="716" t="s">
        <v>296</v>
      </c>
      <c r="C1" s="717"/>
      <c r="D1" s="717"/>
      <c r="E1" s="717"/>
      <c r="F1" s="717"/>
      <c r="G1" s="718"/>
    </row>
    <row r="2" spans="1:7" ht="114.75" customHeight="1" thickBot="1" x14ac:dyDescent="0.35">
      <c r="B2" s="260" t="s">
        <v>347</v>
      </c>
      <c r="C2" s="261" t="s">
        <v>55</v>
      </c>
      <c r="D2" s="261" t="s">
        <v>63</v>
      </c>
      <c r="E2" s="262" t="s">
        <v>57</v>
      </c>
      <c r="F2" s="263" t="s">
        <v>58</v>
      </c>
      <c r="G2" s="264" t="s">
        <v>56</v>
      </c>
    </row>
    <row r="3" spans="1:7" ht="21" customHeight="1" x14ac:dyDescent="0.3">
      <c r="A3" s="280">
        <v>1</v>
      </c>
      <c r="B3" s="281" t="s">
        <v>5</v>
      </c>
      <c r="C3" s="282">
        <f>'1.DESPACHO'!C9</f>
        <v>29</v>
      </c>
      <c r="D3" s="283">
        <f>'1.DESPACHO'!D9</f>
        <v>0.87780000000000002</v>
      </c>
      <c r="E3" s="335">
        <f>'1.DESPACHO'!E9</f>
        <v>2317073937</v>
      </c>
      <c r="F3" s="335">
        <f>'1.DESPACHO'!F9</f>
        <v>1728162948</v>
      </c>
      <c r="G3" s="284">
        <f>'1.DESPACHO'!G9</f>
        <v>0.74583849932623014</v>
      </c>
    </row>
    <row r="4" spans="1:7" ht="21" customHeight="1" x14ac:dyDescent="0.3">
      <c r="A4" s="280">
        <v>2</v>
      </c>
      <c r="B4" s="285" t="s">
        <v>44</v>
      </c>
      <c r="C4" s="286">
        <f>'2.1 GOBIERNO Y CONVIVENCIA'!C18</f>
        <v>48</v>
      </c>
      <c r="D4" s="287">
        <f>'2.1 GOBIERNO Y CONVIVENCIA'!D18</f>
        <v>0.80230769230769239</v>
      </c>
      <c r="E4" s="336">
        <f>'2.1 GOBIERNO Y CONVIVENCIA'!E18</f>
        <v>17940726885</v>
      </c>
      <c r="F4" s="336">
        <f>'2.1 GOBIERNO Y CONVIVENCIA'!F18</f>
        <v>6528752569.6699991</v>
      </c>
      <c r="G4" s="288">
        <f>'2.1 GOBIERNO Y CONVIVENCIA'!G18</f>
        <v>0.36390680330397324</v>
      </c>
    </row>
    <row r="5" spans="1:7" ht="21" customHeight="1" x14ac:dyDescent="0.3">
      <c r="A5" s="280">
        <v>3</v>
      </c>
      <c r="B5" s="285" t="s">
        <v>43</v>
      </c>
      <c r="C5" s="286">
        <f>'2.2 DESARROLLO SOCIAL'!C21</f>
        <v>273</v>
      </c>
      <c r="D5" s="287">
        <f>'2.2 DESARROLLO SOCIAL'!D21</f>
        <v>0.58529411764705874</v>
      </c>
      <c r="E5" s="336">
        <f>'2.2 DESARROLLO SOCIAL'!E21</f>
        <v>12414296357.459999</v>
      </c>
      <c r="F5" s="336">
        <f>'2.2 DESARROLLO SOCIAL'!F21</f>
        <v>4418035893.6599998</v>
      </c>
      <c r="G5" s="288">
        <f>'2.2 DESARROLLO SOCIAL'!G21</f>
        <v>0.35588290841833448</v>
      </c>
    </row>
    <row r="6" spans="1:7" ht="21" customHeight="1" x14ac:dyDescent="0.3">
      <c r="A6" s="280">
        <v>4</v>
      </c>
      <c r="B6" s="285" t="s">
        <v>42</v>
      </c>
      <c r="C6" s="286">
        <f>'2.3 SALUD'!C26</f>
        <v>107</v>
      </c>
      <c r="D6" s="287">
        <f>'2.3 SALUD'!D26</f>
        <v>0.69454545454545469</v>
      </c>
      <c r="E6" s="336">
        <f>'2.3 SALUD'!E26</f>
        <v>153737242933</v>
      </c>
      <c r="F6" s="336">
        <f>'2.3 SALUD'!F26</f>
        <v>103251517290.46001</v>
      </c>
      <c r="G6" s="288">
        <f>'2.3 SALUD'!G26</f>
        <v>0.67161030938650235</v>
      </c>
    </row>
    <row r="7" spans="1:7" ht="21" customHeight="1" x14ac:dyDescent="0.3">
      <c r="A7" s="280">
        <v>5</v>
      </c>
      <c r="B7" s="285" t="s">
        <v>45</v>
      </c>
      <c r="C7" s="286">
        <f>'2.4 DESARROLLO ECONOMICO'!C7</f>
        <v>41</v>
      </c>
      <c r="D7" s="287">
        <f>'2.4 DESARROLLO ECONOMICO'!D7</f>
        <v>0.78612499999999996</v>
      </c>
      <c r="E7" s="336">
        <f>'2.4 DESARROLLO ECONOMICO'!E7</f>
        <v>4330769960</v>
      </c>
      <c r="F7" s="336">
        <f>'2.4 DESARROLLO ECONOMICO'!F7</f>
        <v>2719153910.7200003</v>
      </c>
      <c r="G7" s="288">
        <f>'2.4 DESARROLLO ECONOMICO'!G7</f>
        <v>0.62786847046477623</v>
      </c>
    </row>
    <row r="8" spans="1:7" ht="21" customHeight="1" x14ac:dyDescent="0.3">
      <c r="A8" s="280">
        <v>6</v>
      </c>
      <c r="B8" s="285" t="s">
        <v>46</v>
      </c>
      <c r="C8" s="286">
        <f>'2.5 EDUCACION'!C41</f>
        <v>41</v>
      </c>
      <c r="D8" s="287">
        <f>'2.5 EDUCACION'!D41</f>
        <v>0.82488928238583381</v>
      </c>
      <c r="E8" s="336">
        <f>'2.5 EDUCACION'!E41</f>
        <v>150983618863.19</v>
      </c>
      <c r="F8" s="336">
        <f>'2.5 EDUCACION'!F41</f>
        <v>109422855224.19</v>
      </c>
      <c r="G8" s="288">
        <f>'2.5 EDUCACION'!G41</f>
        <v>0.724733292578851</v>
      </c>
    </row>
    <row r="9" spans="1:7" ht="21" customHeight="1" x14ac:dyDescent="0.3">
      <c r="A9" s="280">
        <v>7</v>
      </c>
      <c r="B9" s="285" t="s">
        <v>41</v>
      </c>
      <c r="C9" s="286">
        <f>'2.6 INFRAESTRUCTURA'!C21</f>
        <v>85</v>
      </c>
      <c r="D9" s="289">
        <f>'2.6 INFRAESTRUCTURA'!D21</f>
        <v>0.27009444444444441</v>
      </c>
      <c r="E9" s="336">
        <f>'2.6 INFRAESTRUCTURA'!E21</f>
        <v>68831678228</v>
      </c>
      <c r="F9" s="336">
        <f>'2.6 INFRAESTRUCTURA'!F21</f>
        <v>25061761322.760002</v>
      </c>
      <c r="G9" s="290">
        <f>'2.6 INFRAESTRUCTURA'!G21</f>
        <v>0.36410213971167049</v>
      </c>
    </row>
    <row r="10" spans="1:7" ht="23.25" customHeight="1" x14ac:dyDescent="0.3">
      <c r="A10" s="280">
        <v>8</v>
      </c>
      <c r="B10" s="285" t="s">
        <v>40</v>
      </c>
      <c r="C10" s="286">
        <f>'2.7 TRANSITO'!C7</f>
        <v>14</v>
      </c>
      <c r="D10" s="287">
        <f>'2.7 TRANSITO'!D7</f>
        <v>0.65345000000000009</v>
      </c>
      <c r="E10" s="336">
        <f>'2.7 TRANSITO'!E7</f>
        <v>9030673153</v>
      </c>
      <c r="F10" s="336">
        <f>'2.7 TRANSITO'!F7</f>
        <v>5358949059</v>
      </c>
      <c r="G10" s="288">
        <f>'2.7 TRANSITO'!G7</f>
        <v>0.59341634540496579</v>
      </c>
    </row>
    <row r="11" spans="1:7" x14ac:dyDescent="0.3">
      <c r="A11" s="280">
        <v>9</v>
      </c>
      <c r="B11" s="291" t="s">
        <v>39</v>
      </c>
      <c r="C11" s="286">
        <f>'2.8 TICS'!C8</f>
        <v>12</v>
      </c>
      <c r="D11" s="287">
        <f>'2.8 TICS'!D8</f>
        <v>0.57889999999999997</v>
      </c>
      <c r="E11" s="336">
        <f>'2.8 TICS'!E8</f>
        <v>2807289450</v>
      </c>
      <c r="F11" s="336">
        <f>'2.8 TICS'!F8</f>
        <v>1061850788.8199999</v>
      </c>
      <c r="G11" s="288">
        <f>'2.8 TICS'!G8</f>
        <v>0.37824770396226864</v>
      </c>
    </row>
    <row r="12" spans="1:7" ht="21" customHeight="1" x14ac:dyDescent="0.3">
      <c r="A12" s="280">
        <v>10</v>
      </c>
      <c r="B12" s="291" t="s">
        <v>38</v>
      </c>
      <c r="C12" s="286">
        <f>'3.1 FORTALECIMIENTO INSTITUCION'!C6</f>
        <v>11</v>
      </c>
      <c r="D12" s="287">
        <f>'3.1 FORTALECIMIENTO INSTITUCION'!D6</f>
        <v>0.54844999999999999</v>
      </c>
      <c r="E12" s="336">
        <f>'3.1 FORTALECIMIENTO INSTITUCION'!E6</f>
        <v>1494980000</v>
      </c>
      <c r="F12" s="336">
        <f>'3.1 FORTALECIMIENTO INSTITUCION'!F6</f>
        <v>931292921</v>
      </c>
      <c r="G12" s="288">
        <f>'3.1 FORTALECIMIENTO INSTITUCION'!G6</f>
        <v>0.62294674243133685</v>
      </c>
    </row>
    <row r="13" spans="1:7" ht="21" customHeight="1" x14ac:dyDescent="0.3">
      <c r="A13" s="280">
        <v>11</v>
      </c>
      <c r="B13" s="291" t="s">
        <v>37</v>
      </c>
      <c r="C13" s="286">
        <f>'3.2 JURIDICA'!C5</f>
        <v>3</v>
      </c>
      <c r="D13" s="287">
        <f>'3.2 JURIDICA'!D5</f>
        <v>1</v>
      </c>
      <c r="E13" s="336">
        <f>'3.2 JURIDICA'!E5</f>
        <v>1334800000</v>
      </c>
      <c r="F13" s="336">
        <f>'3.2 JURIDICA'!F5</f>
        <v>1071119778.67</v>
      </c>
      <c r="G13" s="288">
        <f>'3.2 JURIDICA'!G5</f>
        <v>0.80245713115822592</v>
      </c>
    </row>
    <row r="14" spans="1:7" ht="21" customHeight="1" x14ac:dyDescent="0.3">
      <c r="A14" s="280">
        <v>12</v>
      </c>
      <c r="B14" s="291" t="s">
        <v>36</v>
      </c>
      <c r="C14" s="286">
        <f>'2.9 HACIENDA'!C6</f>
        <v>24</v>
      </c>
      <c r="D14" s="287">
        <f>'2.9 HACIENDA'!D6</f>
        <v>0.71666666666666667</v>
      </c>
      <c r="E14" s="336">
        <f>'2.9 HACIENDA'!E6</f>
        <v>10341104542</v>
      </c>
      <c r="F14" s="336">
        <f>'2.9 HACIENDA'!F6</f>
        <v>8887678996.5499992</v>
      </c>
      <c r="G14" s="288">
        <f>'2.9 HACIENDA'!G6</f>
        <v>0.85945161471417597</v>
      </c>
    </row>
    <row r="15" spans="1:7" ht="21" customHeight="1" x14ac:dyDescent="0.3">
      <c r="A15" s="280">
        <v>13</v>
      </c>
      <c r="B15" s="291" t="s">
        <v>35</v>
      </c>
      <c r="C15" s="286">
        <f>'3.4 BIENES Y SUMINISTROS'!C7</f>
        <v>15</v>
      </c>
      <c r="D15" s="287">
        <f>'3.4 BIENES Y SUMINISTROS'!D7</f>
        <v>0.87000000000000011</v>
      </c>
      <c r="E15" s="336">
        <f>'3.4 BIENES Y SUMINISTROS'!E7</f>
        <v>821749999</v>
      </c>
      <c r="F15" s="336">
        <f>'3.4 BIENES Y SUMINISTROS'!F7</f>
        <v>765985527</v>
      </c>
      <c r="G15" s="288">
        <f>'3.4 BIENES Y SUMINISTROS'!G7</f>
        <v>0.93213937077230224</v>
      </c>
    </row>
    <row r="16" spans="1:7" ht="21" customHeight="1" x14ac:dyDescent="0.3">
      <c r="A16" s="280">
        <v>14</v>
      </c>
      <c r="B16" s="291" t="s">
        <v>47</v>
      </c>
      <c r="C16" s="286">
        <f>'3.5 PLANEACION'!C23</f>
        <v>125</v>
      </c>
      <c r="D16" s="287">
        <f>'3.5 PLANEACION'!D23</f>
        <v>0.71457999999999999</v>
      </c>
      <c r="E16" s="336">
        <f>'3.5 PLANEACION'!E23</f>
        <v>12169897627</v>
      </c>
      <c r="F16" s="336">
        <f>'3.5 PLANEACION'!F23</f>
        <v>7688245719.8199997</v>
      </c>
      <c r="G16" s="288">
        <f>'3.5 PLANEACION'!G23</f>
        <v>0.63174284250041213</v>
      </c>
    </row>
    <row r="17" spans="1:8" ht="21" customHeight="1" x14ac:dyDescent="0.3">
      <c r="A17" s="280">
        <v>15</v>
      </c>
      <c r="B17" s="291" t="s">
        <v>34</v>
      </c>
      <c r="C17" s="286">
        <f>'3.6 CONTROL INTERNO'!C6</f>
        <v>7</v>
      </c>
      <c r="D17" s="287">
        <f>'3.6 CONTROL INTERNO'!D6</f>
        <v>0.8555666666666667</v>
      </c>
      <c r="E17" s="336">
        <f>'3.6 CONTROL INTERNO'!E6</f>
        <v>580000000</v>
      </c>
      <c r="F17" s="336">
        <f>'3.6 CONTROL INTERNO'!F6</f>
        <v>515000000</v>
      </c>
      <c r="G17" s="288">
        <f>'3.6 CONTROL INTERNO'!G6</f>
        <v>0.88793103448275867</v>
      </c>
    </row>
    <row r="18" spans="1:8" ht="21" customHeight="1" x14ac:dyDescent="0.3">
      <c r="A18" s="280">
        <v>16</v>
      </c>
      <c r="B18" s="291" t="s">
        <v>33</v>
      </c>
      <c r="C18" s="286">
        <f>'3.7. DACID'!C4</f>
        <v>7</v>
      </c>
      <c r="D18" s="287">
        <f>'3.7. DACID'!D4</f>
        <v>0.76</v>
      </c>
      <c r="E18" s="336">
        <f>'3.7. DACID'!E4</f>
        <v>569495000</v>
      </c>
      <c r="F18" s="336">
        <f>'3.7. DACID'!F4</f>
        <v>439954390</v>
      </c>
      <c r="G18" s="288">
        <f>'3.7. DACID'!G4</f>
        <v>0.77253424525237269</v>
      </c>
    </row>
    <row r="19" spans="1:8" ht="21" customHeight="1" x14ac:dyDescent="0.3">
      <c r="A19" s="280">
        <v>17</v>
      </c>
      <c r="B19" s="291" t="s">
        <v>9</v>
      </c>
      <c r="C19" s="286">
        <f>'4.1 FOMVIVIENDA'!C6</f>
        <v>11</v>
      </c>
      <c r="D19" s="287">
        <f>'4.1 FOMVIVIENDA'!D6</f>
        <v>0.76480000000000004</v>
      </c>
      <c r="E19" s="336">
        <f>'4.1 FOMVIVIENDA'!E6</f>
        <v>210263602</v>
      </c>
      <c r="F19" s="336">
        <f>'4.1 FOMVIVIENDA'!F6</f>
        <v>190920400</v>
      </c>
      <c r="G19" s="288">
        <f>'4.1 FOMVIVIENDA'!G6</f>
        <v>0.90800499080197439</v>
      </c>
    </row>
    <row r="20" spans="1:8" x14ac:dyDescent="0.3">
      <c r="A20" s="280">
        <v>18</v>
      </c>
      <c r="B20" s="291" t="s">
        <v>10</v>
      </c>
      <c r="C20" s="286">
        <f>'4.2 EDUA'!C5</f>
        <v>2</v>
      </c>
      <c r="D20" s="289">
        <f>'4.2 EDUA'!D5</f>
        <v>0.94300000000000006</v>
      </c>
      <c r="E20" s="336">
        <f>'4.2 EDUA'!E5</f>
        <v>56227563</v>
      </c>
      <c r="F20" s="336">
        <f>'4.2 EDUA'!F5</f>
        <v>42938438</v>
      </c>
      <c r="G20" s="290">
        <f>'4.2 EDUA'!G5</f>
        <v>0.76365461544189639</v>
      </c>
    </row>
    <row r="21" spans="1:8" ht="18.75" customHeight="1" x14ac:dyDescent="0.3">
      <c r="A21" s="280">
        <v>19</v>
      </c>
      <c r="B21" s="291" t="s">
        <v>11</v>
      </c>
      <c r="C21" s="286">
        <f>'4.3 CORPOCULTURA'!C26</f>
        <v>23</v>
      </c>
      <c r="D21" s="287">
        <f>'4.3 CORPOCULTURA'!D26</f>
        <v>0.54862926038235282</v>
      </c>
      <c r="E21" s="336">
        <f>'4.3 CORPOCULTURA'!E26</f>
        <v>3382372628</v>
      </c>
      <c r="F21" s="336">
        <f>'4.3 CORPOCULTURA'!F26</f>
        <v>1231887564</v>
      </c>
      <c r="G21" s="288">
        <f>'4.3 CORPOCULTURA'!G26</f>
        <v>0.36420811645712031</v>
      </c>
    </row>
    <row r="22" spans="1:8" ht="21" customHeight="1" x14ac:dyDescent="0.3">
      <c r="A22" s="280">
        <v>20</v>
      </c>
      <c r="B22" s="291" t="s">
        <v>12</v>
      </c>
      <c r="C22" s="286">
        <f>'4.4 IMDERA'!C8</f>
        <v>11</v>
      </c>
      <c r="D22" s="287">
        <f>'4.4 IMDERA'!D8</f>
        <v>0.67383999999999999</v>
      </c>
      <c r="E22" s="336">
        <f>'4.4 IMDERA'!E8</f>
        <v>4316831118.4800005</v>
      </c>
      <c r="F22" s="336">
        <f>'4.4 IMDERA'!F8</f>
        <v>2852091244</v>
      </c>
      <c r="G22" s="288">
        <f>'4.4 IMDERA'!G8</f>
        <v>0.6606909479943357</v>
      </c>
    </row>
    <row r="23" spans="1:8" ht="18.75" customHeight="1" x14ac:dyDescent="0.3">
      <c r="A23" s="280">
        <v>21</v>
      </c>
      <c r="B23" s="291" t="s">
        <v>48</v>
      </c>
      <c r="C23" s="292">
        <f>'4.5 EPA'!C61</f>
        <v>137</v>
      </c>
      <c r="D23" s="289">
        <f>'4.5 EPA'!D61</f>
        <v>0.59695313013851792</v>
      </c>
      <c r="E23" s="336">
        <f>'4.5 EPA'!E61</f>
        <v>30381253644.290001</v>
      </c>
      <c r="F23" s="336">
        <f>'4.5 EPA'!F61</f>
        <v>17119167024.470003</v>
      </c>
      <c r="G23" s="290">
        <f>'4.5 EPA'!G61</f>
        <v>0.56347796654162963</v>
      </c>
    </row>
    <row r="24" spans="1:8" ht="21" customHeight="1" x14ac:dyDescent="0.3">
      <c r="A24" s="280">
        <v>22</v>
      </c>
      <c r="B24" s="291" t="s">
        <v>49</v>
      </c>
      <c r="C24" s="292">
        <f>'4.6 AMABLE'!C12</f>
        <v>9</v>
      </c>
      <c r="D24" s="287">
        <f>'4.6 AMABLE'!D12</f>
        <v>0.64730769230769225</v>
      </c>
      <c r="E24" s="336">
        <f>'4.6 AMABLE'!E12</f>
        <v>41958153041.43</v>
      </c>
      <c r="F24" s="336">
        <f>'4.6 AMABLE'!F12</f>
        <v>12758083392.65</v>
      </c>
      <c r="G24" s="288">
        <f>'4.6 AMABLE'!G12</f>
        <v>0.30406684917833515</v>
      </c>
    </row>
    <row r="25" spans="1:8" ht="21" customHeight="1" thickBot="1" x14ac:dyDescent="0.35">
      <c r="A25" s="280">
        <v>23</v>
      </c>
      <c r="B25" s="293" t="s">
        <v>132</v>
      </c>
      <c r="C25" s="294">
        <f>'4.7 REDSALUD'!C3</f>
        <v>1</v>
      </c>
      <c r="D25" s="295">
        <f>'4.7 REDSALUD'!D4</f>
        <v>1</v>
      </c>
      <c r="E25" s="337" t="str">
        <f>'4.7 REDSALUD'!E3</f>
        <v>Recursos Gestionados</v>
      </c>
      <c r="F25" s="337">
        <f>'4.7 REDSALUD'!F3</f>
        <v>208096850</v>
      </c>
      <c r="G25" s="296">
        <f>'4.7 REDSALUD'!G3</f>
        <v>1</v>
      </c>
    </row>
    <row r="26" spans="1:8" ht="21" customHeight="1" thickBot="1" x14ac:dyDescent="0.35">
      <c r="B26" s="297" t="s">
        <v>0</v>
      </c>
      <c r="C26" s="298">
        <f>SUM(C3:C25)</f>
        <v>1036</v>
      </c>
      <c r="D26" s="299">
        <f>SUM(D3:D25)/23</f>
        <v>0.7266608438040163</v>
      </c>
      <c r="E26" s="339">
        <f>SUM(E3:E25)</f>
        <v>530010498531.84998</v>
      </c>
      <c r="F26" s="339">
        <f>SUM(F3:F25)</f>
        <v>314253501253.44006</v>
      </c>
      <c r="G26" s="301">
        <f>F26/E26</f>
        <v>0.59291938956668722</v>
      </c>
      <c r="H26" s="302"/>
    </row>
    <row r="27" spans="1:8" ht="21" hidden="1" customHeight="1" x14ac:dyDescent="0.3">
      <c r="B27" s="82"/>
      <c r="C27" s="303"/>
      <c r="D27" s="304">
        <v>1</v>
      </c>
      <c r="E27" s="305"/>
      <c r="F27" s="305"/>
      <c r="G27" s="306">
        <v>1</v>
      </c>
      <c r="H27" s="302"/>
    </row>
    <row r="28" spans="1:8" ht="21" hidden="1" customHeight="1" x14ac:dyDescent="0.3">
      <c r="B28" s="82"/>
      <c r="C28" s="303"/>
      <c r="D28" s="304">
        <v>0</v>
      </c>
      <c r="E28" s="305"/>
      <c r="F28" s="305"/>
      <c r="G28" s="306">
        <v>0</v>
      </c>
      <c r="H28" s="302"/>
    </row>
    <row r="29" spans="1:8" x14ac:dyDescent="0.3">
      <c r="G29" s="308"/>
    </row>
    <row r="30" spans="1:8" ht="19.5" thickBot="1" x14ac:dyDescent="0.35">
      <c r="E30" s="309"/>
      <c r="F30" s="310"/>
    </row>
    <row r="31" spans="1:8" ht="19.5" thickBot="1" x14ac:dyDescent="0.35">
      <c r="E31" s="719" t="s">
        <v>192</v>
      </c>
      <c r="F31" s="720"/>
      <c r="G31" s="721"/>
    </row>
    <row r="32" spans="1:8" ht="19.5" thickBot="1" x14ac:dyDescent="0.35">
      <c r="E32" s="311" t="s">
        <v>13</v>
      </c>
      <c r="F32" s="312" t="s">
        <v>14</v>
      </c>
      <c r="G32" s="313" t="s">
        <v>15</v>
      </c>
    </row>
    <row r="33" spans="3:7" x14ac:dyDescent="0.3">
      <c r="E33" s="314" t="s">
        <v>326</v>
      </c>
      <c r="F33" s="315">
        <v>8</v>
      </c>
      <c r="G33" s="316">
        <f>F33/F36</f>
        <v>0.34782608695652173</v>
      </c>
    </row>
    <row r="34" spans="3:7" x14ac:dyDescent="0.3">
      <c r="E34" s="317" t="s">
        <v>325</v>
      </c>
      <c r="F34" s="318">
        <v>12</v>
      </c>
      <c r="G34" s="316">
        <f>F34/F36</f>
        <v>0.52173913043478259</v>
      </c>
    </row>
    <row r="35" spans="3:7" ht="19.5" thickBot="1" x14ac:dyDescent="0.35">
      <c r="E35" s="319" t="s">
        <v>321</v>
      </c>
      <c r="F35" s="320">
        <v>3</v>
      </c>
      <c r="G35" s="316">
        <f>F35/F36</f>
        <v>0.13043478260869565</v>
      </c>
    </row>
    <row r="36" spans="3:7" ht="19.5" thickBot="1" x14ac:dyDescent="0.35">
      <c r="E36" s="321" t="s">
        <v>27</v>
      </c>
      <c r="F36" s="322">
        <f>SUM(F33:F35)</f>
        <v>23</v>
      </c>
      <c r="G36" s="323"/>
    </row>
    <row r="37" spans="3:7" x14ac:dyDescent="0.3">
      <c r="E37" s="324"/>
      <c r="F37" s="324"/>
      <c r="G37" s="325"/>
    </row>
    <row r="38" spans="3:7" ht="19.5" thickBot="1" x14ac:dyDescent="0.35">
      <c r="E38" s="326"/>
      <c r="F38" s="326"/>
      <c r="G38" s="325"/>
    </row>
    <row r="39" spans="3:7" ht="19.5" thickBot="1" x14ac:dyDescent="0.35">
      <c r="E39" s="725" t="s">
        <v>182</v>
      </c>
      <c r="F39" s="720"/>
      <c r="G39" s="721"/>
    </row>
    <row r="40" spans="3:7" ht="19.5" thickBot="1" x14ac:dyDescent="0.35">
      <c r="E40" s="311" t="s">
        <v>13</v>
      </c>
      <c r="F40" s="312" t="s">
        <v>14</v>
      </c>
      <c r="G40" s="313" t="s">
        <v>15</v>
      </c>
    </row>
    <row r="41" spans="3:7" x14ac:dyDescent="0.3">
      <c r="E41" s="314" t="s">
        <v>326</v>
      </c>
      <c r="F41" s="315">
        <f>SUM('1.DESPACHO'!F15+'2.1 GOBIERNO Y CONVIVENCIA'!F23+'2.4 DESARROLLO ECONOMICO'!F13+'2.5 EDUCACION'!F47+'2.6 INFRAESTRUCTURA'!F27+'2.7 TRANSITO'!F13+'2.8 TICS'!F14+'3.1 FORTALECIMIENTO INSTITUCION'!F12+'2.9 HACIENDA'!F12+'3.4 BIENES Y SUMINISTROS'!F13+'3.5 PLANEACION'!F31+'3.6 CONTROL INTERNO'!F13+'3.7. DACID'!F10+'4.1 FOMVIVIENDA'!F12+'4.2 EDUA'!F11+'4.4 IMDERA'!F14+'4.5 EPA'!F67+'4.6 AMABLE'!F19+'4.7 REDSALUD'!F10)</f>
        <v>276</v>
      </c>
      <c r="G41" s="316">
        <f>F41/F44</f>
        <v>0.26640926640926643</v>
      </c>
    </row>
    <row r="42" spans="3:7" x14ac:dyDescent="0.3">
      <c r="E42" s="317" t="s">
        <v>325</v>
      </c>
      <c r="F42" s="318">
        <f>SUM('1.DESPACHO'!F16+'2.1 GOBIERNO Y CONVIVENCIA'!F24+'2.2 DESARROLLO SOCIAL'!F28+'2.3 SALUD'!F33+'2.4 DESARROLLO ECONOMICO'!F14+'2.5 EDUCACION'!F48+'2.6 INFRAESTRUCTURA'!F28+'2.7 TRANSITO'!F14+'2.8 TICS'!F15+'3.1 FORTALECIMIENTO INSTITUCION'!F13+'3.2 JURIDICA'!F12+'2.9 HACIENDA'!F13+'3.4 BIENES Y SUMINISTROS'!F14+'3.5 PLANEACION'!F32+'3.6 CONTROL INTERNO'!F14+'3.7. DACID'!F11+'4.1 FOMVIVIENDA'!F13+'4.2 EDUA'!F12+'4.3 CORPOCULTURA'!F34+'4.4 IMDERA'!F15+'4.5 EPA'!F68+'4.6 AMABLE'!F20+'4.7 REDSALUD'!F11)</f>
        <v>235</v>
      </c>
      <c r="G42" s="316">
        <f>F42/F44</f>
        <v>0.22683397683397682</v>
      </c>
    </row>
    <row r="43" spans="3:7" ht="19.5" thickBot="1" x14ac:dyDescent="0.35">
      <c r="E43" s="327" t="s">
        <v>321</v>
      </c>
      <c r="F43" s="320">
        <f>SUM('1.DESPACHO'!F17+'2.1 GOBIERNO Y CONVIVENCIA'!F25+'2.2 DESARROLLO SOCIAL'!F29+'2.3 SALUD'!F34+'2.6 INFRAESTRUCTURA'!F29+'2.7 TRANSITO'!F15+'2.8 TICS'!F16+'3.1 FORTALECIMIENTO INSTITUCION'!F14+'3.2 JURIDICA'!F13+'2.9 HACIENDA'!F14+'3.4 BIENES Y SUMINISTROS'!F15+'3.5 PLANEACION'!F33+'3.6 CONTROL INTERNO'!F15+'3.7. DACID'!F12+'4.3 CORPOCULTURA'!F35+'4.4 IMDERA'!F16+'4.5 EPA'!F69+'4.7 REDSALUD'!F12)</f>
        <v>356</v>
      </c>
      <c r="G43" s="316">
        <f>F43/F44</f>
        <v>0.34362934362934361</v>
      </c>
    </row>
    <row r="44" spans="3:7" ht="19.5" thickBot="1" x14ac:dyDescent="0.35">
      <c r="E44" s="321" t="s">
        <v>183</v>
      </c>
      <c r="F44" s="322">
        <f>C26</f>
        <v>1036</v>
      </c>
      <c r="G44" s="323"/>
    </row>
    <row r="45" spans="3:7" x14ac:dyDescent="0.3">
      <c r="E45" s="326"/>
      <c r="F45" s="326"/>
      <c r="G45" s="325"/>
    </row>
    <row r="46" spans="3:7" ht="19.5" thickBot="1" x14ac:dyDescent="0.35">
      <c r="C46" s="328"/>
      <c r="E46" s="326"/>
      <c r="F46" s="326"/>
      <c r="G46" s="325"/>
    </row>
    <row r="47" spans="3:7" ht="19.5" thickBot="1" x14ac:dyDescent="0.35">
      <c r="E47" s="722" t="s">
        <v>31</v>
      </c>
      <c r="F47" s="723"/>
      <c r="G47" s="724"/>
    </row>
    <row r="48" spans="3:7" ht="19.5" thickBot="1" x14ac:dyDescent="0.35">
      <c r="E48" s="329" t="s">
        <v>3</v>
      </c>
      <c r="F48" s="330" t="s">
        <v>4</v>
      </c>
      <c r="G48" s="331" t="s">
        <v>213</v>
      </c>
    </row>
    <row r="49" spans="5:7" ht="19.5" thickBot="1" x14ac:dyDescent="0.35">
      <c r="E49" s="332">
        <f>E26</f>
        <v>530010498531.84998</v>
      </c>
      <c r="F49" s="333">
        <f>F26</f>
        <v>314253501253.44006</v>
      </c>
      <c r="G49" s="334">
        <f>F49/E49</f>
        <v>0.59291938956668722</v>
      </c>
    </row>
  </sheetData>
  <mergeCells count="4">
    <mergeCell ref="B1:G1"/>
    <mergeCell ref="E31:G31"/>
    <mergeCell ref="E47:G47"/>
    <mergeCell ref="E39:G39"/>
  </mergeCells>
  <conditionalFormatting sqref="D3:D5 D10:D11 D7:D8">
    <cfRule type="colorScale" priority="2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2 D7:D8"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2 G7:G8"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7:D12 D26:D28">
    <cfRule type="colorScale" priority="23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5 G7:G12 G26:G28">
    <cfRule type="colorScale" priority="231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25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3">
    <cfRule type="colorScale" priority="2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2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1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1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1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3:D5 D7:D14 D26:D28">
    <cfRule type="colorScale" priority="21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14 G26:G28">
    <cfRule type="colorScale" priority="2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0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7:D15 D26:D28 D17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15 G26:G28 G17">
    <cfRule type="colorScale" priority="1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7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9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9">
    <cfRule type="colorScale" priority="14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0">
    <cfRule type="colorScale" priority="13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2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0">
    <cfRule type="colorScale" priority="12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0">
    <cfRule type="colorScale" priority="1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1">
    <cfRule type="colorScale" priority="11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0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1">
    <cfRule type="colorScale" priority="1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1">
    <cfRule type="colorScale" priority="1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2:D23">
    <cfRule type="colorScale" priority="9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3">
    <cfRule type="colorScale" priority="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3">
    <cfRule type="colorScale" priority="80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5">
    <cfRule type="colorScale" priority="7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58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4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36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3:D15 D17:D28">
    <cfRule type="colorScale" priority="3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 G17:G28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3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8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ile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8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256" scale="4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1"/>
  <sheetViews>
    <sheetView view="pageBreakPreview" zoomScaleNormal="80" zoomScaleSheetLayoutView="100" workbookViewId="0">
      <selection activeCell="B1" sqref="B1:G1"/>
    </sheetView>
  </sheetViews>
  <sheetFormatPr baseColWidth="10" defaultColWidth="11.42578125" defaultRowHeight="15" x14ac:dyDescent="0.25"/>
  <cols>
    <col min="1" max="1" width="3" style="1" bestFit="1" customWidth="1"/>
    <col min="2" max="2" width="53.42578125" style="1" customWidth="1"/>
    <col min="3" max="4" width="20.5703125" style="1" customWidth="1"/>
    <col min="5" max="6" width="26.28515625" style="3" customWidth="1"/>
    <col min="7" max="7" width="27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42" t="s">
        <v>305</v>
      </c>
      <c r="C1" s="743"/>
      <c r="D1" s="743"/>
      <c r="E1" s="743"/>
      <c r="F1" s="743"/>
      <c r="G1" s="744"/>
    </row>
    <row r="2" spans="1:7" s="2" customFormat="1" ht="94.5" customHeight="1" thickBot="1" x14ac:dyDescent="0.3">
      <c r="B2" s="14" t="s">
        <v>1</v>
      </c>
      <c r="C2" s="166" t="s">
        <v>55</v>
      </c>
      <c r="D2" s="166" t="s">
        <v>63</v>
      </c>
      <c r="E2" s="167" t="s">
        <v>57</v>
      </c>
      <c r="F2" s="168" t="s">
        <v>58</v>
      </c>
      <c r="G2" s="169" t="s">
        <v>56</v>
      </c>
    </row>
    <row r="3" spans="1:7" s="2" customFormat="1" ht="75.75" customHeight="1" x14ac:dyDescent="0.25">
      <c r="A3" s="5">
        <v>1</v>
      </c>
      <c r="B3" s="346" t="s">
        <v>118</v>
      </c>
      <c r="C3" s="490">
        <v>7</v>
      </c>
      <c r="D3" s="353">
        <v>0.79710000000000003</v>
      </c>
      <c r="E3" s="491">
        <v>5576159153</v>
      </c>
      <c r="F3" s="491">
        <v>2793797930</v>
      </c>
      <c r="G3" s="348">
        <f>F3/E3</f>
        <v>0.50102550041042559</v>
      </c>
    </row>
    <row r="4" spans="1:7" s="2" customFormat="1" ht="36" customHeight="1" x14ac:dyDescent="0.25">
      <c r="A4" s="5">
        <v>2</v>
      </c>
      <c r="B4" s="428" t="s">
        <v>119</v>
      </c>
      <c r="C4" s="401">
        <v>3</v>
      </c>
      <c r="D4" s="353">
        <v>0.76670000000000005</v>
      </c>
      <c r="E4" s="492">
        <v>650000000</v>
      </c>
      <c r="F4" s="493">
        <v>650000000</v>
      </c>
      <c r="G4" s="356">
        <f>F4/E4</f>
        <v>1</v>
      </c>
    </row>
    <row r="5" spans="1:7" ht="32.25" customHeight="1" x14ac:dyDescent="0.25">
      <c r="A5" s="68">
        <v>3</v>
      </c>
      <c r="B5" s="494" t="s">
        <v>120</v>
      </c>
      <c r="C5" s="401">
        <v>1</v>
      </c>
      <c r="D5" s="353">
        <v>0.3</v>
      </c>
      <c r="E5" s="495">
        <v>54000000</v>
      </c>
      <c r="F5" s="495">
        <v>0</v>
      </c>
      <c r="G5" s="356">
        <f>F5/E5</f>
        <v>0</v>
      </c>
    </row>
    <row r="6" spans="1:7" ht="42.75" customHeight="1" thickBot="1" x14ac:dyDescent="0.3">
      <c r="A6" s="5">
        <v>4</v>
      </c>
      <c r="B6" s="496" t="s">
        <v>121</v>
      </c>
      <c r="C6" s="497">
        <v>3</v>
      </c>
      <c r="D6" s="353">
        <v>0.75</v>
      </c>
      <c r="E6" s="493">
        <v>2750514000</v>
      </c>
      <c r="F6" s="493">
        <v>1915151129</v>
      </c>
      <c r="G6" s="498">
        <f>F6/E6</f>
        <v>0.69628844972248827</v>
      </c>
    </row>
    <row r="7" spans="1:7" ht="26.25" customHeight="1" thickBot="1" x14ac:dyDescent="0.3">
      <c r="A7" s="4"/>
      <c r="B7" s="455" t="s">
        <v>0</v>
      </c>
      <c r="C7" s="499">
        <f>SUM(C3:C6)</f>
        <v>14</v>
      </c>
      <c r="D7" s="500">
        <f>SUM(D3:D6)/4</f>
        <v>0.65345000000000009</v>
      </c>
      <c r="E7" s="501">
        <f>SUM(E3:E6)</f>
        <v>9030673153</v>
      </c>
      <c r="F7" s="502">
        <f>SUM(F3:F6)</f>
        <v>5358949059</v>
      </c>
      <c r="G7" s="503">
        <f>F7/E7</f>
        <v>0.59341634540496579</v>
      </c>
    </row>
    <row r="8" spans="1:7" ht="16.5" hidden="1" customHeight="1" thickBot="1" x14ac:dyDescent="0.3">
      <c r="B8" s="15"/>
      <c r="C8" s="15"/>
      <c r="D8" s="176">
        <v>1</v>
      </c>
      <c r="E8" s="176"/>
      <c r="F8" s="176"/>
      <c r="G8" s="176">
        <v>1</v>
      </c>
    </row>
    <row r="9" spans="1:7" ht="12.75" hidden="1" customHeight="1" thickBot="1" x14ac:dyDescent="0.3">
      <c r="B9" s="177"/>
      <c r="C9" s="177"/>
      <c r="D9" s="252">
        <v>0</v>
      </c>
      <c r="E9" s="16"/>
      <c r="F9" s="16"/>
      <c r="G9" s="251">
        <v>0</v>
      </c>
    </row>
    <row r="10" spans="1:7" ht="12.75" customHeight="1" thickBot="1" x14ac:dyDescent="0.3">
      <c r="B10" s="177"/>
      <c r="C10" s="177"/>
      <c r="D10" s="252"/>
      <c r="E10" s="16"/>
      <c r="F10" s="16"/>
      <c r="G10" s="251"/>
    </row>
    <row r="11" spans="1:7" s="2" customFormat="1" ht="15.75" thickBot="1" x14ac:dyDescent="0.3">
      <c r="A11" s="1"/>
      <c r="B11" s="6"/>
      <c r="C11" s="6"/>
      <c r="D11" s="6"/>
      <c r="E11" s="735" t="s">
        <v>16</v>
      </c>
      <c r="F11" s="736"/>
      <c r="G11" s="737"/>
    </row>
    <row r="12" spans="1:7" s="2" customFormat="1" ht="15.75" thickBot="1" x14ac:dyDescent="0.3">
      <c r="A12" s="1"/>
      <c r="B12" s="6"/>
      <c r="C12" s="6"/>
      <c r="D12" s="6"/>
      <c r="E12" s="258" t="s">
        <v>13</v>
      </c>
      <c r="F12" s="256" t="s">
        <v>14</v>
      </c>
      <c r="G12" s="257" t="s">
        <v>15</v>
      </c>
    </row>
    <row r="13" spans="1:7" s="2" customFormat="1" x14ac:dyDescent="0.25">
      <c r="A13" s="1"/>
      <c r="B13" s="6"/>
      <c r="C13" s="6"/>
      <c r="D13" s="6"/>
      <c r="E13" s="144" t="s">
        <v>326</v>
      </c>
      <c r="F13" s="145">
        <v>7</v>
      </c>
      <c r="G13" s="159">
        <f>F13/F16</f>
        <v>0.5</v>
      </c>
    </row>
    <row r="14" spans="1:7" s="3" customFormat="1" x14ac:dyDescent="0.25">
      <c r="A14" s="1"/>
      <c r="B14" s="6"/>
      <c r="C14" s="6"/>
      <c r="D14" s="6"/>
      <c r="E14" s="146" t="s">
        <v>325</v>
      </c>
      <c r="F14" s="147">
        <v>4</v>
      </c>
      <c r="G14" s="159">
        <f>F14/F16</f>
        <v>0.2857142857142857</v>
      </c>
    </row>
    <row r="15" spans="1:7" s="3" customFormat="1" ht="15.75" thickBot="1" x14ac:dyDescent="0.3">
      <c r="A15" s="1"/>
      <c r="B15" s="6"/>
      <c r="C15" s="6"/>
      <c r="D15" s="6"/>
      <c r="E15" s="148" t="s">
        <v>321</v>
      </c>
      <c r="F15" s="149">
        <v>3</v>
      </c>
      <c r="G15" s="159">
        <f>F15/F16</f>
        <v>0.21428571428571427</v>
      </c>
    </row>
    <row r="16" spans="1:7" s="3" customFormat="1" ht="15.75" thickBot="1" x14ac:dyDescent="0.3">
      <c r="A16" s="1"/>
      <c r="B16" s="6"/>
      <c r="C16" s="6"/>
      <c r="D16" s="6"/>
      <c r="E16" s="410" t="s">
        <v>17</v>
      </c>
      <c r="F16" s="150">
        <f>SUM(F13:F15)</f>
        <v>14</v>
      </c>
      <c r="G16" s="160"/>
    </row>
    <row r="17" spans="1:7" s="3" customFormat="1" ht="15.75" thickBot="1" x14ac:dyDescent="0.3">
      <c r="A17" s="1"/>
      <c r="B17" s="6"/>
      <c r="C17" s="6"/>
      <c r="D17" s="6"/>
      <c r="E17" s="436"/>
      <c r="F17" s="436"/>
      <c r="G17" s="437"/>
    </row>
    <row r="18" spans="1:7" s="3" customFormat="1" ht="15.75" thickBot="1" x14ac:dyDescent="0.3">
      <c r="A18" s="1"/>
      <c r="B18" s="6"/>
      <c r="C18" s="6"/>
      <c r="D18" s="6"/>
      <c r="E18" s="735" t="s">
        <v>22</v>
      </c>
      <c r="F18" s="736"/>
      <c r="G18" s="737"/>
    </row>
    <row r="19" spans="1:7" s="3" customFormat="1" ht="15.75" thickBot="1" x14ac:dyDescent="0.3">
      <c r="A19" s="1"/>
      <c r="B19" s="6"/>
      <c r="C19" s="6"/>
      <c r="D19" s="6"/>
      <c r="E19" s="438" t="s">
        <v>3</v>
      </c>
      <c r="F19" s="439" t="s">
        <v>4</v>
      </c>
      <c r="G19" s="161" t="s">
        <v>214</v>
      </c>
    </row>
    <row r="20" spans="1:7" s="3" customFormat="1" ht="15.75" thickBot="1" x14ac:dyDescent="0.3">
      <c r="A20" s="1"/>
      <c r="B20" s="6"/>
      <c r="C20" s="6"/>
      <c r="D20" s="6"/>
      <c r="E20" s="412">
        <f>E7</f>
        <v>9030673153</v>
      </c>
      <c r="F20" s="440">
        <f>F7</f>
        <v>5358949059</v>
      </c>
      <c r="G20" s="69">
        <f>G7</f>
        <v>0.59341634540496579</v>
      </c>
    </row>
    <row r="21" spans="1:7" s="3" customFormat="1" x14ac:dyDescent="0.25">
      <c r="A21" s="1"/>
      <c r="B21" s="1"/>
      <c r="C21" s="1"/>
      <c r="D21" s="1"/>
      <c r="G21" s="2"/>
    </row>
  </sheetData>
  <mergeCells count="3">
    <mergeCell ref="B1:G1"/>
    <mergeCell ref="E11:G11"/>
    <mergeCell ref="E18:G18"/>
  </mergeCells>
  <conditionalFormatting sqref="D7:D8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3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5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5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36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3"/>
  <sheetViews>
    <sheetView view="pageBreakPreview" zoomScaleNormal="80" zoomScaleSheetLayoutView="100" workbookViewId="0">
      <selection activeCell="H7" sqref="H7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5703125" style="16" customWidth="1"/>
    <col min="6" max="6" width="26" style="16" customWidth="1"/>
    <col min="7" max="7" width="20.57031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742" t="s">
        <v>306</v>
      </c>
      <c r="C1" s="743"/>
      <c r="D1" s="743"/>
      <c r="E1" s="743"/>
      <c r="F1" s="743"/>
      <c r="G1" s="744"/>
    </row>
    <row r="2" spans="1:7" ht="77.25" thickBot="1" x14ac:dyDescent="0.25"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687" t="s">
        <v>56</v>
      </c>
    </row>
    <row r="3" spans="1:7" ht="24.75" customHeight="1" thickBot="1" x14ac:dyDescent="0.25">
      <c r="A3" s="17">
        <v>1</v>
      </c>
      <c r="B3" s="346" t="s">
        <v>122</v>
      </c>
      <c r="C3" s="371">
        <v>4</v>
      </c>
      <c r="D3" s="372">
        <f>[7]CONSOLIDADO!D22</f>
        <v>0.79449999999999998</v>
      </c>
      <c r="E3" s="504">
        <f>[7]CONSOLIDADO!E22</f>
        <v>717289450</v>
      </c>
      <c r="F3" s="504">
        <f>[7]CONSOLIDADO!F22</f>
        <v>331653270</v>
      </c>
      <c r="G3" s="688">
        <f t="shared" ref="G3:G8" si="0">F3/E3</f>
        <v>0.46237020494306724</v>
      </c>
    </row>
    <row r="4" spans="1:7" ht="90.75" customHeight="1" thickBot="1" x14ac:dyDescent="0.25">
      <c r="A4" s="17">
        <v>2</v>
      </c>
      <c r="B4" s="351" t="s">
        <v>123</v>
      </c>
      <c r="C4" s="375">
        <v>2</v>
      </c>
      <c r="D4" s="376">
        <f>[7]CONSOLIDADO!D23</f>
        <v>0.4</v>
      </c>
      <c r="E4" s="505">
        <f>[7]CONSOLIDADO!E23</f>
        <v>145000000</v>
      </c>
      <c r="F4" s="505">
        <f>[7]CONSOLIDADO!F23</f>
        <v>0</v>
      </c>
      <c r="G4" s="688">
        <f t="shared" si="0"/>
        <v>0</v>
      </c>
    </row>
    <row r="5" spans="1:7" ht="33.75" customHeight="1" thickBot="1" x14ac:dyDescent="0.25">
      <c r="A5" s="17">
        <v>3</v>
      </c>
      <c r="B5" s="351" t="s">
        <v>124</v>
      </c>
      <c r="C5" s="375">
        <v>4</v>
      </c>
      <c r="D5" s="376">
        <f>[7]CONSOLIDADO!D24</f>
        <v>0.9</v>
      </c>
      <c r="E5" s="505">
        <f>[7]CONSOLIDADO!E24</f>
        <v>1830000000</v>
      </c>
      <c r="F5" s="505">
        <f>[7]CONSOLIDADO!F24</f>
        <v>730197518.81999993</v>
      </c>
      <c r="G5" s="688">
        <f t="shared" si="0"/>
        <v>0.39901503760655732</v>
      </c>
    </row>
    <row r="6" spans="1:7" ht="36" customHeight="1" thickBot="1" x14ac:dyDescent="0.25">
      <c r="A6" s="17">
        <v>4</v>
      </c>
      <c r="B6" s="421" t="s">
        <v>125</v>
      </c>
      <c r="C6" s="375">
        <v>1</v>
      </c>
      <c r="D6" s="376">
        <f>[7]CONSOLIDADO!D25</f>
        <v>0.3</v>
      </c>
      <c r="E6" s="505">
        <f>[7]CONSOLIDADO!E25</f>
        <v>45000000</v>
      </c>
      <c r="F6" s="505">
        <f>[7]CONSOLIDADO!F25</f>
        <v>0</v>
      </c>
      <c r="G6" s="688">
        <f t="shared" si="0"/>
        <v>0</v>
      </c>
    </row>
    <row r="7" spans="1:7" ht="24.75" customHeight="1" thickBot="1" x14ac:dyDescent="0.25">
      <c r="A7" s="17">
        <v>5</v>
      </c>
      <c r="B7" s="429" t="s">
        <v>126</v>
      </c>
      <c r="C7" s="381">
        <v>1</v>
      </c>
      <c r="D7" s="382">
        <f>[7]CONSOLIDADO!D26</f>
        <v>0.5</v>
      </c>
      <c r="E7" s="506">
        <f>[7]CONSOLIDADO!E26</f>
        <v>70000000</v>
      </c>
      <c r="F7" s="506">
        <f>[7]CONSOLIDADO!F26</f>
        <v>0</v>
      </c>
      <c r="G7" s="688">
        <f t="shared" si="0"/>
        <v>0</v>
      </c>
    </row>
    <row r="8" spans="1:7" ht="17.100000000000001" customHeight="1" thickBot="1" x14ac:dyDescent="0.3">
      <c r="B8" s="455" t="s">
        <v>0</v>
      </c>
      <c r="C8" s="499">
        <f>SUM(C3:C7)</f>
        <v>12</v>
      </c>
      <c r="D8" s="500">
        <f>SUM(D3:D7)/5</f>
        <v>0.57889999999999997</v>
      </c>
      <c r="E8" s="507">
        <f>SUM(E3:E7)</f>
        <v>2807289450</v>
      </c>
      <c r="F8" s="507">
        <f>SUM(F3:F7)</f>
        <v>1061850788.8199999</v>
      </c>
      <c r="G8" s="689">
        <f t="shared" si="0"/>
        <v>0.37824770396226864</v>
      </c>
    </row>
    <row r="9" spans="1:7" hidden="1" x14ac:dyDescent="0.2">
      <c r="B9" s="219"/>
      <c r="C9" s="238"/>
      <c r="D9" s="221">
        <v>1</v>
      </c>
      <c r="E9" s="239"/>
      <c r="F9" s="239"/>
      <c r="G9" s="27">
        <v>1</v>
      </c>
    </row>
    <row r="10" spans="1:7" hidden="1" x14ac:dyDescent="0.2">
      <c r="D10" s="237">
        <v>0</v>
      </c>
      <c r="G10" s="237">
        <v>0</v>
      </c>
    </row>
    <row r="11" spans="1:7" ht="13.5" thickBot="1" x14ac:dyDescent="0.25"/>
    <row r="12" spans="1:7" ht="15.75" thickBot="1" x14ac:dyDescent="0.25">
      <c r="E12" s="735" t="s">
        <v>16</v>
      </c>
      <c r="F12" s="736"/>
      <c r="G12" s="737"/>
    </row>
    <row r="13" spans="1:7" ht="15.75" thickBot="1" x14ac:dyDescent="0.25">
      <c r="E13" s="258" t="s">
        <v>13</v>
      </c>
      <c r="F13" s="256" t="s">
        <v>14</v>
      </c>
      <c r="G13" s="690" t="s">
        <v>15</v>
      </c>
    </row>
    <row r="14" spans="1:7" ht="15" x14ac:dyDescent="0.2">
      <c r="E14" s="144" t="s">
        <v>326</v>
      </c>
      <c r="F14" s="508">
        <v>5</v>
      </c>
      <c r="G14" s="691">
        <f>F14/F17</f>
        <v>0.41666666666666669</v>
      </c>
    </row>
    <row r="15" spans="1:7" ht="14.25" x14ac:dyDescent="0.2">
      <c r="E15" s="146" t="s">
        <v>325</v>
      </c>
      <c r="F15" s="509">
        <v>3</v>
      </c>
      <c r="G15" s="691">
        <f>F15/F17</f>
        <v>0.25</v>
      </c>
    </row>
    <row r="16" spans="1:7" s="16" customFormat="1" ht="15.75" thickBot="1" x14ac:dyDescent="0.25">
      <c r="A16" s="15"/>
      <c r="E16" s="148" t="s">
        <v>321</v>
      </c>
      <c r="F16" s="510">
        <v>4</v>
      </c>
      <c r="G16" s="691">
        <f>F16/F17</f>
        <v>0.33333333333333331</v>
      </c>
    </row>
    <row r="17" spans="1:7" s="16" customFormat="1" ht="15.75" thickBot="1" x14ac:dyDescent="0.3">
      <c r="A17" s="15"/>
      <c r="E17" s="410" t="s">
        <v>17</v>
      </c>
      <c r="F17" s="150">
        <f>SUM(F14:F16)</f>
        <v>12</v>
      </c>
      <c r="G17" s="160"/>
    </row>
    <row r="18" spans="1:7" s="16" customFormat="1" ht="15" thickBot="1" x14ac:dyDescent="0.25">
      <c r="A18" s="15"/>
      <c r="E18" s="436"/>
      <c r="F18" s="436"/>
      <c r="G18" s="437"/>
    </row>
    <row r="19" spans="1:7" s="16" customFormat="1" ht="15.75" thickBot="1" x14ac:dyDescent="0.25">
      <c r="A19" s="15"/>
      <c r="E19" s="735" t="s">
        <v>23</v>
      </c>
      <c r="F19" s="736"/>
      <c r="G19" s="737"/>
    </row>
    <row r="20" spans="1:7" s="16" customFormat="1" ht="15.75" thickBot="1" x14ac:dyDescent="0.25">
      <c r="A20" s="15"/>
      <c r="E20" s="438" t="s">
        <v>3</v>
      </c>
      <c r="F20" s="439" t="s">
        <v>4</v>
      </c>
      <c r="G20" s="692" t="s">
        <v>214</v>
      </c>
    </row>
    <row r="21" spans="1:7" s="16" customFormat="1" ht="15" thickBot="1" x14ac:dyDescent="0.25">
      <c r="A21" s="15"/>
      <c r="E21" s="412">
        <f>E8</f>
        <v>2807289450</v>
      </c>
      <c r="F21" s="440">
        <f>F8</f>
        <v>1061850788.8199999</v>
      </c>
      <c r="G21" s="693">
        <f>G8</f>
        <v>0.37824770396226864</v>
      </c>
    </row>
    <row r="22" spans="1:7" s="16" customFormat="1" x14ac:dyDescent="0.2">
      <c r="A22" s="15"/>
      <c r="G22" s="15"/>
    </row>
    <row r="23" spans="1:7" s="16" customFormat="1" x14ac:dyDescent="0.2">
      <c r="A23" s="15"/>
      <c r="G23" s="15"/>
    </row>
  </sheetData>
  <autoFilter ref="A2:G10"/>
  <mergeCells count="3">
    <mergeCell ref="B1:G1"/>
    <mergeCell ref="E12:G12"/>
    <mergeCell ref="E19:G19"/>
  </mergeCells>
  <conditionalFormatting sqref="D3:D9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4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42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2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5"/>
  <sheetViews>
    <sheetView tabSelected="1" view="pageBreakPreview" topLeftCell="A2" zoomScaleNormal="82" zoomScaleSheetLayoutView="100" workbookViewId="0">
      <selection activeCell="D12" sqref="D12"/>
    </sheetView>
  </sheetViews>
  <sheetFormatPr baseColWidth="10" defaultColWidth="11.42578125" defaultRowHeight="15" x14ac:dyDescent="0.25"/>
  <cols>
    <col min="1" max="1" width="3" style="1" bestFit="1" customWidth="1"/>
    <col min="2" max="2" width="57.85546875" style="1" customWidth="1"/>
    <col min="3" max="4" width="20.5703125" style="1" customWidth="1"/>
    <col min="5" max="6" width="30.7109375" style="3" customWidth="1"/>
    <col min="7" max="7" width="24.5703125" style="2" customWidth="1"/>
    <col min="8" max="8" width="16.42578125" style="1" customWidth="1"/>
    <col min="9" max="9" width="12.85546875" style="1" customWidth="1"/>
    <col min="10" max="10" width="18.5703125" style="1" customWidth="1"/>
    <col min="11" max="16384" width="11.42578125" style="1"/>
  </cols>
  <sheetData>
    <row r="1" spans="1:7" ht="69.75" customHeight="1" thickBot="1" x14ac:dyDescent="0.3">
      <c r="B1" s="754" t="s">
        <v>348</v>
      </c>
      <c r="C1" s="754"/>
      <c r="D1" s="754"/>
      <c r="E1" s="754"/>
      <c r="F1" s="754"/>
      <c r="G1" s="754"/>
    </row>
    <row r="2" spans="1:7" s="2" customFormat="1" ht="93.75" customHeight="1" thickBot="1" x14ac:dyDescent="0.3"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2" customFormat="1" ht="40.5" customHeight="1" x14ac:dyDescent="0.25">
      <c r="A3" s="4">
        <v>1</v>
      </c>
      <c r="B3" s="536" t="s">
        <v>133</v>
      </c>
      <c r="C3" s="537">
        <v>21</v>
      </c>
      <c r="D3" s="538">
        <v>0.9</v>
      </c>
      <c r="E3" s="539">
        <f>[19]CONSOLIDADO!D29</f>
        <v>5541681108</v>
      </c>
      <c r="F3" s="539">
        <f>[19]CONSOLIDADO!E29</f>
        <v>4188818996.5500002</v>
      </c>
      <c r="G3" s="540">
        <f>F3/E3</f>
        <v>0.75587514238287712</v>
      </c>
    </row>
    <row r="4" spans="1:7" s="2" customFormat="1" ht="27.75" customHeight="1" x14ac:dyDescent="0.25">
      <c r="A4" s="4">
        <v>2</v>
      </c>
      <c r="B4" s="541" t="s">
        <v>134</v>
      </c>
      <c r="C4" s="542">
        <v>1</v>
      </c>
      <c r="D4" s="353">
        <v>0.75</v>
      </c>
      <c r="E4" s="543">
        <f>[19]CONSOLIDADO!D30</f>
        <v>100000000</v>
      </c>
      <c r="F4" s="543">
        <f>[19]CONSOLIDADO!E30</f>
        <v>0</v>
      </c>
      <c r="G4" s="544">
        <f>F4/E4</f>
        <v>0</v>
      </c>
    </row>
    <row r="5" spans="1:7" s="2" customFormat="1" ht="26.25" customHeight="1" thickBot="1" x14ac:dyDescent="0.3">
      <c r="A5" s="4">
        <v>3</v>
      </c>
      <c r="B5" s="545" t="s">
        <v>135</v>
      </c>
      <c r="C5" s="546">
        <v>2</v>
      </c>
      <c r="D5" s="362">
        <v>0.5</v>
      </c>
      <c r="E5" s="547">
        <f>[19]CONSOLIDADO!D31</f>
        <v>4699423434</v>
      </c>
      <c r="F5" s="547">
        <f>[19]CONSOLIDADO!E31</f>
        <v>4698860000</v>
      </c>
      <c r="G5" s="548">
        <f>F5/E5</f>
        <v>0.99988010571766661</v>
      </c>
    </row>
    <row r="6" spans="1:7" s="2" customFormat="1" ht="18.75" customHeight="1" thickBot="1" x14ac:dyDescent="0.3">
      <c r="A6" s="4"/>
      <c r="B6" s="549" t="s">
        <v>0</v>
      </c>
      <c r="C6" s="550">
        <f>SUM(C3:C5)</f>
        <v>24</v>
      </c>
      <c r="D6" s="551">
        <f>SUM(D3:D5)/3</f>
        <v>0.71666666666666667</v>
      </c>
      <c r="E6" s="552">
        <f>SUM(E3:E5)</f>
        <v>10341104542</v>
      </c>
      <c r="F6" s="552">
        <f>SUM(F3:F5)</f>
        <v>8887678996.5499992</v>
      </c>
      <c r="G6" s="553">
        <f>F6/E6</f>
        <v>0.85945161471417597</v>
      </c>
    </row>
    <row r="7" spans="1:7" s="2" customFormat="1" ht="18.75" hidden="1" customHeight="1" x14ac:dyDescent="0.25">
      <c r="A7" s="4"/>
      <c r="B7" s="87"/>
      <c r="C7" s="88"/>
      <c r="D7" s="89">
        <v>1</v>
      </c>
      <c r="E7" s="90"/>
      <c r="F7" s="90"/>
      <c r="G7" s="91">
        <v>1</v>
      </c>
    </row>
    <row r="8" spans="1:7" ht="18.75" hidden="1" customHeight="1" thickBot="1" x14ac:dyDescent="0.3">
      <c r="B8" s="15"/>
      <c r="C8" s="15"/>
      <c r="D8" s="240">
        <v>0</v>
      </c>
      <c r="G8" s="242">
        <v>0</v>
      </c>
    </row>
    <row r="9" spans="1:7" s="18" customFormat="1" ht="18.75" customHeight="1" thickBot="1" x14ac:dyDescent="0.3">
      <c r="B9" s="34"/>
      <c r="C9" s="34"/>
      <c r="D9" s="554"/>
      <c r="E9" s="555"/>
      <c r="F9" s="555"/>
      <c r="G9" s="556"/>
    </row>
    <row r="10" spans="1:7" ht="18.75" customHeight="1" thickBot="1" x14ac:dyDescent="0.3">
      <c r="B10" s="2"/>
      <c r="C10" s="2"/>
      <c r="D10" s="2"/>
      <c r="E10" s="735" t="s">
        <v>16</v>
      </c>
      <c r="F10" s="736"/>
      <c r="G10" s="737"/>
    </row>
    <row r="11" spans="1:7" s="2" customFormat="1" ht="15.75" thickBot="1" x14ac:dyDescent="0.3">
      <c r="A11" s="1"/>
      <c r="E11" s="258" t="s">
        <v>13</v>
      </c>
      <c r="F11" s="256" t="s">
        <v>14</v>
      </c>
      <c r="G11" s="257" t="s">
        <v>15</v>
      </c>
    </row>
    <row r="12" spans="1:7" s="2" customFormat="1" x14ac:dyDescent="0.25">
      <c r="A12" s="1"/>
      <c r="E12" s="144" t="s">
        <v>326</v>
      </c>
      <c r="F12" s="145">
        <v>17</v>
      </c>
      <c r="G12" s="159">
        <f>F12/F15</f>
        <v>0.70833333333333337</v>
      </c>
    </row>
    <row r="13" spans="1:7" s="2" customFormat="1" x14ac:dyDescent="0.25">
      <c r="A13" s="1"/>
      <c r="E13" s="146" t="s">
        <v>325</v>
      </c>
      <c r="F13" s="147">
        <v>4</v>
      </c>
      <c r="G13" s="159">
        <f>F13/F15</f>
        <v>0.16666666666666666</v>
      </c>
    </row>
    <row r="14" spans="1:7" s="2" customFormat="1" ht="15.75" thickBot="1" x14ac:dyDescent="0.3">
      <c r="A14" s="1"/>
      <c r="E14" s="148" t="s">
        <v>321</v>
      </c>
      <c r="F14" s="149">
        <v>3</v>
      </c>
      <c r="G14" s="159">
        <f>F14/F15</f>
        <v>0.125</v>
      </c>
    </row>
    <row r="15" spans="1:7" s="2" customFormat="1" ht="15.75" thickBot="1" x14ac:dyDescent="0.3">
      <c r="A15" s="1"/>
      <c r="E15" s="410" t="s">
        <v>17</v>
      </c>
      <c r="F15" s="150">
        <f>SUM(F12:F14)</f>
        <v>24</v>
      </c>
      <c r="G15" s="160"/>
    </row>
    <row r="16" spans="1:7" s="2" customFormat="1" ht="15.75" thickBot="1" x14ac:dyDescent="0.3">
      <c r="A16" s="1"/>
      <c r="E16" s="436"/>
      <c r="F16" s="436"/>
      <c r="G16" s="437"/>
    </row>
    <row r="17" spans="1:7" s="2" customFormat="1" ht="15.75" thickBot="1" x14ac:dyDescent="0.3">
      <c r="A17" s="1"/>
      <c r="E17" s="735" t="s">
        <v>6</v>
      </c>
      <c r="F17" s="736"/>
      <c r="G17" s="737"/>
    </row>
    <row r="18" spans="1:7" s="2" customFormat="1" ht="15.75" thickBot="1" x14ac:dyDescent="0.3">
      <c r="A18" s="1"/>
      <c r="B18" s="3"/>
      <c r="C18" s="3"/>
      <c r="D18" s="3"/>
      <c r="E18" s="438" t="s">
        <v>3</v>
      </c>
      <c r="F18" s="439" t="s">
        <v>4</v>
      </c>
      <c r="G18" s="161" t="s">
        <v>214</v>
      </c>
    </row>
    <row r="19" spans="1:7" s="3" customFormat="1" ht="15.75" thickBot="1" x14ac:dyDescent="0.3">
      <c r="A19" s="1"/>
      <c r="E19" s="412">
        <f>E6</f>
        <v>10341104542</v>
      </c>
      <c r="F19" s="440">
        <f>F6</f>
        <v>8887678996.5499992</v>
      </c>
      <c r="G19" s="69">
        <f>G6</f>
        <v>0.85945161471417597</v>
      </c>
    </row>
    <row r="20" spans="1:7" s="3" customFormat="1" x14ac:dyDescent="0.25">
      <c r="A20" s="1"/>
      <c r="G20" s="6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s="3" customFormat="1" x14ac:dyDescent="0.25">
      <c r="A24" s="1"/>
      <c r="G24" s="2"/>
    </row>
    <row r="25" spans="1:7" s="3" customFormat="1" x14ac:dyDescent="0.25">
      <c r="A25" s="1"/>
      <c r="B25" s="1"/>
      <c r="C25" s="1"/>
      <c r="D25" s="1"/>
      <c r="G25" s="2"/>
    </row>
  </sheetData>
  <mergeCells count="3">
    <mergeCell ref="B1:G1"/>
    <mergeCell ref="E10:G10"/>
    <mergeCell ref="E17:G17"/>
  </mergeCells>
  <conditionalFormatting sqref="D6:D7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1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9"/>
  <sheetViews>
    <sheetView view="pageBreakPreview" zoomScaleNormal="80" zoomScaleSheetLayoutView="100" workbookViewId="0">
      <selection activeCell="B1" sqref="B1:G1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85546875" style="3" customWidth="1"/>
    <col min="6" max="6" width="20.5703125" style="3" customWidth="1"/>
    <col min="7" max="7" width="28.42578125" style="2" customWidth="1"/>
    <col min="8" max="8" width="12.85546875" style="1" customWidth="1"/>
    <col min="9" max="16384" width="11.42578125" style="1"/>
  </cols>
  <sheetData>
    <row r="1" spans="1:7" ht="69.75" customHeight="1" thickBot="1" x14ac:dyDescent="0.3">
      <c r="B1" s="742" t="s">
        <v>307</v>
      </c>
      <c r="C1" s="743"/>
      <c r="D1" s="743"/>
      <c r="E1" s="743"/>
      <c r="F1" s="743"/>
      <c r="G1" s="744"/>
    </row>
    <row r="2" spans="1:7" s="2" customFormat="1" ht="93" customHeight="1" thickBot="1" x14ac:dyDescent="0.3">
      <c r="B2" s="14" t="s">
        <v>1</v>
      </c>
      <c r="C2" s="166" t="s">
        <v>55</v>
      </c>
      <c r="D2" s="166" t="s">
        <v>63</v>
      </c>
      <c r="E2" s="167" t="s">
        <v>57</v>
      </c>
      <c r="F2" s="168" t="s">
        <v>58</v>
      </c>
      <c r="G2" s="169" t="s">
        <v>56</v>
      </c>
    </row>
    <row r="3" spans="1:7" s="2" customFormat="1" ht="52.5" customHeight="1" x14ac:dyDescent="0.25">
      <c r="A3" s="4">
        <v>1</v>
      </c>
      <c r="B3" s="511" t="s">
        <v>127</v>
      </c>
      <c r="C3" s="512">
        <v>1</v>
      </c>
      <c r="D3" s="513">
        <v>0</v>
      </c>
      <c r="E3" s="514">
        <v>56120000</v>
      </c>
      <c r="F3" s="514">
        <v>0</v>
      </c>
      <c r="G3" s="466" t="s">
        <v>353</v>
      </c>
    </row>
    <row r="4" spans="1:7" s="2" customFormat="1" ht="51.75" customHeight="1" x14ac:dyDescent="0.25">
      <c r="A4" s="4">
        <v>2</v>
      </c>
      <c r="B4" s="515" t="s">
        <v>128</v>
      </c>
      <c r="C4" s="398">
        <v>8</v>
      </c>
      <c r="D4" s="516">
        <v>0.59689999999999999</v>
      </c>
      <c r="E4" s="355">
        <f>[8]CONSOLIDADO!$E$21</f>
        <v>1040980000</v>
      </c>
      <c r="F4" s="517">
        <f>[8]CONSOLIDADO!$F$21</f>
        <v>720242921</v>
      </c>
      <c r="G4" s="353">
        <f>F4/E4</f>
        <v>0.69188929758496798</v>
      </c>
    </row>
    <row r="5" spans="1:7" s="2" customFormat="1" ht="50.25" customHeight="1" thickBot="1" x14ac:dyDescent="0.3">
      <c r="A5" s="4">
        <v>3</v>
      </c>
      <c r="B5" s="518" t="s">
        <v>129</v>
      </c>
      <c r="C5" s="519">
        <v>2</v>
      </c>
      <c r="D5" s="520">
        <v>0.5</v>
      </c>
      <c r="E5" s="521">
        <f>[8]CONSOLIDADO!$E$22</f>
        <v>454000000</v>
      </c>
      <c r="F5" s="521">
        <f>[8]CONSOLIDADO!$F$22</f>
        <v>211050000</v>
      </c>
      <c r="G5" s="522">
        <f>F5/E5</f>
        <v>0.46486784140969162</v>
      </c>
    </row>
    <row r="6" spans="1:7" ht="20.25" customHeight="1" thickBot="1" x14ac:dyDescent="0.3">
      <c r="A6" s="4"/>
      <c r="B6" s="523" t="s">
        <v>0</v>
      </c>
      <c r="C6" s="499">
        <f>SUM(C3:C5)</f>
        <v>11</v>
      </c>
      <c r="D6" s="524">
        <f>SUM(D3:D5)/2</f>
        <v>0.54844999999999999</v>
      </c>
      <c r="E6" s="525">
        <f>SUM(E4:E5)</f>
        <v>1494980000</v>
      </c>
      <c r="F6" s="525">
        <f>SUM(F4:F5)</f>
        <v>931292921</v>
      </c>
      <c r="G6" s="526">
        <f>F6/E6</f>
        <v>0.62294674243133685</v>
      </c>
    </row>
    <row r="7" spans="1:7" ht="23.25" hidden="1" customHeight="1" x14ac:dyDescent="0.25">
      <c r="A7" s="4"/>
      <c r="B7" s="107"/>
      <c r="C7" s="95"/>
      <c r="D7" s="108">
        <v>1</v>
      </c>
      <c r="E7" s="109"/>
      <c r="F7" s="109"/>
      <c r="G7" s="108">
        <v>1</v>
      </c>
    </row>
    <row r="8" spans="1:7" ht="17.100000000000001" hidden="1" customHeight="1" x14ac:dyDescent="0.25">
      <c r="B8" s="15"/>
      <c r="C8" s="15"/>
      <c r="D8" s="240">
        <v>0</v>
      </c>
      <c r="E8" s="16"/>
      <c r="F8" s="16"/>
      <c r="G8" s="240">
        <v>0</v>
      </c>
    </row>
    <row r="9" spans="1:7" ht="15.75" thickBot="1" x14ac:dyDescent="0.3"/>
    <row r="10" spans="1:7" ht="15.75" thickBot="1" x14ac:dyDescent="0.3">
      <c r="E10" s="735" t="s">
        <v>16</v>
      </c>
      <c r="F10" s="736"/>
      <c r="G10" s="737"/>
    </row>
    <row r="11" spans="1:7" ht="15.75" thickBot="1" x14ac:dyDescent="0.3">
      <c r="E11" s="258" t="s">
        <v>13</v>
      </c>
      <c r="F11" s="256" t="s">
        <v>14</v>
      </c>
      <c r="G11" s="257" t="s">
        <v>15</v>
      </c>
    </row>
    <row r="12" spans="1:7" x14ac:dyDescent="0.25">
      <c r="E12" s="65" t="s">
        <v>326</v>
      </c>
      <c r="F12" s="48">
        <v>0</v>
      </c>
      <c r="G12" s="159">
        <f>F12/F15</f>
        <v>0</v>
      </c>
    </row>
    <row r="13" spans="1:7" x14ac:dyDescent="0.25">
      <c r="E13" s="66" t="s">
        <v>325</v>
      </c>
      <c r="F13" s="47">
        <v>7</v>
      </c>
      <c r="G13" s="159">
        <f>F13/F15</f>
        <v>0.63636363636363635</v>
      </c>
    </row>
    <row r="14" spans="1:7" ht="15.75" thickBot="1" x14ac:dyDescent="0.3">
      <c r="E14" s="67" t="s">
        <v>321</v>
      </c>
      <c r="F14" s="79">
        <v>4</v>
      </c>
      <c r="G14" s="159">
        <f>F14/F15</f>
        <v>0.36363636363636365</v>
      </c>
    </row>
    <row r="15" spans="1:7" ht="15.75" thickBot="1" x14ac:dyDescent="0.3">
      <c r="E15" s="51" t="s">
        <v>17</v>
      </c>
      <c r="F15" s="52">
        <f>SUM(F12:F14)</f>
        <v>11</v>
      </c>
      <c r="G15" s="160"/>
    </row>
    <row r="16" spans="1:7" ht="15.75" thickBot="1" x14ac:dyDescent="0.3">
      <c r="E16" s="527"/>
      <c r="F16" s="527"/>
      <c r="G16" s="20"/>
    </row>
    <row r="17" spans="5:7" ht="15.75" thickBot="1" x14ac:dyDescent="0.3">
      <c r="E17" s="755" t="s">
        <v>24</v>
      </c>
      <c r="F17" s="756"/>
      <c r="G17" s="757"/>
    </row>
    <row r="18" spans="5:7" ht="15.75" thickBot="1" x14ac:dyDescent="0.3">
      <c r="E18" s="44" t="s">
        <v>3</v>
      </c>
      <c r="F18" s="45" t="s">
        <v>4</v>
      </c>
      <c r="G18" s="46" t="s">
        <v>214</v>
      </c>
    </row>
    <row r="19" spans="5:7" ht="15.75" thickBot="1" x14ac:dyDescent="0.3">
      <c r="E19" s="528">
        <f>E6</f>
        <v>1494980000</v>
      </c>
      <c r="F19" s="529">
        <f>F6</f>
        <v>931292921</v>
      </c>
      <c r="G19" s="43">
        <f>G6</f>
        <v>0.62294674243133685</v>
      </c>
    </row>
  </sheetData>
  <mergeCells count="3">
    <mergeCell ref="B1:G1"/>
    <mergeCell ref="E10:G10"/>
    <mergeCell ref="E17:G17"/>
  </mergeCells>
  <conditionalFormatting sqref="D6:D7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8"/>
  <sheetViews>
    <sheetView view="pageBreakPreview" zoomScaleNormal="66" zoomScaleSheetLayoutView="100" workbookViewId="0">
      <selection activeCell="D14" sqref="D14"/>
    </sheetView>
  </sheetViews>
  <sheetFormatPr baseColWidth="10" defaultColWidth="11.42578125" defaultRowHeight="15" x14ac:dyDescent="0.25"/>
  <cols>
    <col min="1" max="1" width="3" style="6" bestFit="1" customWidth="1"/>
    <col min="2" max="2" width="60.5703125" style="1" customWidth="1"/>
    <col min="3" max="4" width="20.5703125" style="1" customWidth="1"/>
    <col min="5" max="5" width="22" style="3" customWidth="1"/>
    <col min="6" max="6" width="22.7109375" style="3" customWidth="1"/>
    <col min="7" max="7" width="22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308</v>
      </c>
      <c r="C1" s="759"/>
      <c r="D1" s="759"/>
      <c r="E1" s="743"/>
      <c r="F1" s="743"/>
      <c r="G1" s="744"/>
    </row>
    <row r="2" spans="1:7" s="2" customFormat="1" ht="81.75" customHeight="1" thickBot="1" x14ac:dyDescent="0.3">
      <c r="A2" s="41"/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2" customFormat="1" ht="61.5" customHeight="1" x14ac:dyDescent="0.25">
      <c r="A3" s="41">
        <v>1</v>
      </c>
      <c r="B3" s="530" t="s">
        <v>130</v>
      </c>
      <c r="C3" s="531">
        <v>1</v>
      </c>
      <c r="D3" s="532">
        <v>1</v>
      </c>
      <c r="E3" s="533" t="s">
        <v>181</v>
      </c>
      <c r="F3" s="449" t="s">
        <v>181</v>
      </c>
      <c r="G3" s="449" t="s">
        <v>181</v>
      </c>
    </row>
    <row r="4" spans="1:7" s="2" customFormat="1" ht="97.5" customHeight="1" thickBot="1" x14ac:dyDescent="0.3">
      <c r="A4" s="41">
        <v>2</v>
      </c>
      <c r="B4" s="534" t="s">
        <v>131</v>
      </c>
      <c r="C4" s="381">
        <v>2</v>
      </c>
      <c r="D4" s="382">
        <v>1</v>
      </c>
      <c r="E4" s="535">
        <f>[9]CONSOLIDADO!$E$18</f>
        <v>1334800000</v>
      </c>
      <c r="F4" s="535">
        <f>[9]CONSOLIDADO!$F$18</f>
        <v>1071119778.67</v>
      </c>
      <c r="G4" s="460">
        <f>F4/E4</f>
        <v>0.80245713115822592</v>
      </c>
    </row>
    <row r="5" spans="1:7" ht="17.100000000000001" customHeight="1" thickBot="1" x14ac:dyDescent="0.3">
      <c r="B5" s="178" t="s">
        <v>0</v>
      </c>
      <c r="C5" s="179">
        <v>3</v>
      </c>
      <c r="D5" s="180">
        <f>SUM(D3:D4)/2</f>
        <v>1</v>
      </c>
      <c r="E5" s="181">
        <f>E4</f>
        <v>1334800000</v>
      </c>
      <c r="F5" s="181">
        <f>F4</f>
        <v>1071119778.67</v>
      </c>
      <c r="G5" s="182">
        <f>F5/E5</f>
        <v>0.80245713115822592</v>
      </c>
    </row>
    <row r="6" spans="1:7" ht="17.100000000000001" hidden="1" customHeight="1" x14ac:dyDescent="0.25">
      <c r="B6" s="87"/>
      <c r="C6" s="110"/>
      <c r="D6" s="100">
        <v>1</v>
      </c>
      <c r="E6" s="111"/>
      <c r="F6" s="111"/>
      <c r="G6" s="112">
        <v>1</v>
      </c>
    </row>
    <row r="7" spans="1:7" hidden="1" x14ac:dyDescent="0.25">
      <c r="B7" s="15"/>
      <c r="C7" s="15"/>
      <c r="D7" s="240">
        <v>0</v>
      </c>
      <c r="E7" s="16"/>
      <c r="F7" s="16"/>
      <c r="G7" s="241">
        <v>0</v>
      </c>
    </row>
    <row r="8" spans="1:7" ht="15.75" thickBot="1" x14ac:dyDescent="0.3"/>
    <row r="9" spans="1:7" ht="15.75" thickBot="1" x14ac:dyDescent="0.3">
      <c r="E9" s="745" t="s">
        <v>16</v>
      </c>
      <c r="F9" s="746"/>
      <c r="G9" s="747"/>
    </row>
    <row r="10" spans="1:7" ht="15.75" thickBot="1" x14ac:dyDescent="0.3">
      <c r="E10" s="132" t="s">
        <v>13</v>
      </c>
      <c r="F10" s="133" t="s">
        <v>14</v>
      </c>
      <c r="G10" s="134" t="s">
        <v>15</v>
      </c>
    </row>
    <row r="11" spans="1:7" x14ac:dyDescent="0.25">
      <c r="E11" s="151" t="s">
        <v>326</v>
      </c>
      <c r="F11" s="152">
        <v>3</v>
      </c>
      <c r="G11" s="23">
        <f>F11/F14</f>
        <v>1</v>
      </c>
    </row>
    <row r="12" spans="1:7" x14ac:dyDescent="0.25">
      <c r="E12" s="153" t="s">
        <v>325</v>
      </c>
      <c r="F12" s="154"/>
      <c r="G12" s="23">
        <f>F12/F14</f>
        <v>0</v>
      </c>
    </row>
    <row r="13" spans="1:7" ht="15.75" thickBot="1" x14ac:dyDescent="0.3">
      <c r="E13" s="155" t="s">
        <v>321</v>
      </c>
      <c r="F13" s="156"/>
      <c r="G13" s="23">
        <f>F13/F14</f>
        <v>0</v>
      </c>
    </row>
    <row r="14" spans="1:7" ht="15.75" thickBot="1" x14ac:dyDescent="0.3">
      <c r="E14" s="157" t="s">
        <v>17</v>
      </c>
      <c r="F14" s="158">
        <f>SUM(F11:F13)</f>
        <v>3</v>
      </c>
      <c r="G14" s="50"/>
    </row>
    <row r="15" spans="1:7" ht="15.75" thickBot="1" x14ac:dyDescent="0.3">
      <c r="E15" s="157"/>
      <c r="F15" s="183"/>
      <c r="G15" s="50"/>
    </row>
    <row r="16" spans="1:7" ht="15.75" thickBot="1" x14ac:dyDescent="0.3">
      <c r="E16" s="745" t="s">
        <v>25</v>
      </c>
      <c r="F16" s="746"/>
      <c r="G16" s="747"/>
    </row>
    <row r="17" spans="5:7" ht="15.75" thickBot="1" x14ac:dyDescent="0.3">
      <c r="E17" s="163" t="s">
        <v>3</v>
      </c>
      <c r="F17" s="164" t="s">
        <v>4</v>
      </c>
      <c r="G17" s="30" t="s">
        <v>214</v>
      </c>
    </row>
    <row r="18" spans="5:7" ht="15.75" thickBot="1" x14ac:dyDescent="0.3">
      <c r="E18" s="28">
        <f>E5</f>
        <v>1334800000</v>
      </c>
      <c r="F18" s="165">
        <f>F5</f>
        <v>1071119778.67</v>
      </c>
      <c r="G18" s="29">
        <f>G5</f>
        <v>0.80245713115822592</v>
      </c>
    </row>
  </sheetData>
  <mergeCells count="3">
    <mergeCell ref="B1:G1"/>
    <mergeCell ref="E9:G9"/>
    <mergeCell ref="E16:G16"/>
  </mergeCells>
  <conditionalFormatting sqref="D3:D6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6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7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7"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0"/>
  <sheetViews>
    <sheetView view="pageBreakPreview" zoomScaleNormal="68" zoomScaleSheetLayoutView="100" workbookViewId="0">
      <selection activeCell="E2" sqref="E2"/>
    </sheetView>
  </sheetViews>
  <sheetFormatPr baseColWidth="10" defaultColWidth="11.42578125" defaultRowHeight="15" x14ac:dyDescent="0.25"/>
  <cols>
    <col min="1" max="1" width="3" style="1" bestFit="1" customWidth="1"/>
    <col min="2" max="2" width="58.5703125" style="1" customWidth="1"/>
    <col min="3" max="4" width="20.5703125" style="1" customWidth="1"/>
    <col min="5" max="5" width="23.42578125" style="3" customWidth="1"/>
    <col min="6" max="6" width="28.85546875" style="3" customWidth="1"/>
    <col min="7" max="7" width="27.28515625" style="2" bestFit="1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42" t="s">
        <v>309</v>
      </c>
      <c r="C1" s="743"/>
      <c r="D1" s="743"/>
      <c r="E1" s="743"/>
      <c r="F1" s="743"/>
      <c r="G1" s="744"/>
    </row>
    <row r="2" spans="1:7" s="2" customFormat="1" ht="109.5" customHeight="1" thickBot="1" x14ac:dyDescent="0.3"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54" customFormat="1" ht="60.75" customHeight="1" x14ac:dyDescent="0.25">
      <c r="A3" s="53">
        <v>1</v>
      </c>
      <c r="B3" s="346" t="s">
        <v>136</v>
      </c>
      <c r="C3" s="557">
        <v>5</v>
      </c>
      <c r="D3" s="459">
        <v>0.2</v>
      </c>
      <c r="E3" s="558">
        <v>937363000</v>
      </c>
      <c r="F3" s="470">
        <v>0</v>
      </c>
      <c r="G3" s="348" t="s">
        <v>355</v>
      </c>
    </row>
    <row r="4" spans="1:7" s="54" customFormat="1" ht="48" customHeight="1" x14ac:dyDescent="0.25">
      <c r="A4" s="53">
        <v>2</v>
      </c>
      <c r="B4" s="351" t="s">
        <v>137</v>
      </c>
      <c r="C4" s="398">
        <v>8</v>
      </c>
      <c r="D4" s="353">
        <v>0.88</v>
      </c>
      <c r="E4" s="559">
        <f>[10]CONSOLIDADO!$D$24</f>
        <v>700749999</v>
      </c>
      <c r="F4" s="559">
        <f>[10]CONSOLIDADO!$E$24</f>
        <v>680533331</v>
      </c>
      <c r="G4" s="560">
        <f>F4/E4</f>
        <v>0.9711499564340349</v>
      </c>
    </row>
    <row r="5" spans="1:7" s="54" customFormat="1" ht="49.5" customHeight="1" thickBot="1" x14ac:dyDescent="0.3">
      <c r="A5" s="53">
        <v>3</v>
      </c>
      <c r="B5" s="360" t="s">
        <v>138</v>
      </c>
      <c r="C5" s="561">
        <v>2</v>
      </c>
      <c r="D5" s="362">
        <v>0.66</v>
      </c>
      <c r="E5" s="562">
        <f>[10]CONSOLIDADO!$D$25</f>
        <v>121000000</v>
      </c>
      <c r="F5" s="562">
        <f>[10]CONSOLIDADO!$E$25</f>
        <v>85452196</v>
      </c>
      <c r="G5" s="563">
        <f>F5/E5</f>
        <v>0.70621649586776858</v>
      </c>
    </row>
    <row r="6" spans="1:7" s="54" customFormat="1" ht="35.1" hidden="1" customHeight="1" thickBot="1" x14ac:dyDescent="0.3">
      <c r="A6" s="53"/>
      <c r="B6" s="184"/>
      <c r="C6" s="185"/>
      <c r="D6" s="185"/>
      <c r="E6" s="124"/>
      <c r="F6" s="124"/>
      <c r="G6" s="92" t="e">
        <f>F6/E6</f>
        <v>#DIV/0!</v>
      </c>
    </row>
    <row r="7" spans="1:7" s="54" customFormat="1" ht="24.75" customHeight="1" thickBot="1" x14ac:dyDescent="0.3">
      <c r="A7" s="53"/>
      <c r="B7" s="170" t="s">
        <v>0</v>
      </c>
      <c r="C7" s="175">
        <f>SUM(C3:C6)</f>
        <v>15</v>
      </c>
      <c r="D7" s="176">
        <f>SUM(D3:D6)/2</f>
        <v>0.87000000000000011</v>
      </c>
      <c r="E7" s="164">
        <f>SUM(E4:E5)</f>
        <v>821749999</v>
      </c>
      <c r="F7" s="164">
        <f>SUM(F3:F5)</f>
        <v>765985527</v>
      </c>
      <c r="G7" s="93">
        <f>F7/E7</f>
        <v>0.93213937077230224</v>
      </c>
    </row>
    <row r="8" spans="1:7" s="54" customFormat="1" hidden="1" x14ac:dyDescent="0.25">
      <c r="A8" s="53"/>
      <c r="B8" s="94"/>
      <c r="C8" s="95"/>
      <c r="D8" s="103">
        <v>1</v>
      </c>
      <c r="E8" s="113"/>
      <c r="F8" s="113"/>
      <c r="G8" s="75">
        <v>1</v>
      </c>
    </row>
    <row r="9" spans="1:7" s="54" customFormat="1" hidden="1" x14ac:dyDescent="0.25">
      <c r="A9" s="53"/>
      <c r="B9" s="55"/>
      <c r="C9" s="55"/>
      <c r="D9" s="243">
        <v>0</v>
      </c>
      <c r="E9" s="55"/>
      <c r="F9" s="55"/>
      <c r="G9" s="243">
        <v>0</v>
      </c>
    </row>
    <row r="10" spans="1:7" s="55" customFormat="1" ht="35.1" customHeight="1" thickBot="1" x14ac:dyDescent="0.3">
      <c r="B10" s="54"/>
      <c r="C10" s="54"/>
      <c r="D10" s="54"/>
      <c r="E10" s="54"/>
      <c r="F10" s="54"/>
      <c r="G10" s="54"/>
    </row>
    <row r="11" spans="1:7" s="55" customFormat="1" ht="25.5" customHeight="1" thickBot="1" x14ac:dyDescent="0.3">
      <c r="E11" s="735" t="s">
        <v>16</v>
      </c>
      <c r="F11" s="736"/>
      <c r="G11" s="737"/>
    </row>
    <row r="12" spans="1:7" s="54" customFormat="1" ht="19.5" customHeight="1" thickBot="1" x14ac:dyDescent="0.3">
      <c r="A12" s="55"/>
      <c r="B12" s="1"/>
      <c r="C12" s="1"/>
      <c r="D12" s="1"/>
      <c r="E12" s="258" t="s">
        <v>13</v>
      </c>
      <c r="F12" s="256" t="s">
        <v>14</v>
      </c>
      <c r="G12" s="257" t="s">
        <v>15</v>
      </c>
    </row>
    <row r="13" spans="1:7" s="55" customFormat="1" ht="13.5" customHeight="1" x14ac:dyDescent="0.25">
      <c r="B13" s="1"/>
      <c r="C13" s="1"/>
      <c r="D13" s="1"/>
      <c r="E13" s="144" t="s">
        <v>326</v>
      </c>
      <c r="F13" s="145">
        <v>8</v>
      </c>
      <c r="G13" s="159">
        <f>F13/F16</f>
        <v>0.53333333333333333</v>
      </c>
    </row>
    <row r="14" spans="1:7" x14ac:dyDescent="0.25">
      <c r="E14" s="146" t="s">
        <v>325</v>
      </c>
      <c r="F14" s="147"/>
      <c r="G14" s="159">
        <f>F14/F16</f>
        <v>0</v>
      </c>
    </row>
    <row r="15" spans="1:7" ht="15.75" thickBot="1" x14ac:dyDescent="0.3">
      <c r="E15" s="148" t="s">
        <v>321</v>
      </c>
      <c r="F15" s="149">
        <v>7</v>
      </c>
      <c r="G15" s="159">
        <f>F15/F16</f>
        <v>0.46666666666666667</v>
      </c>
    </row>
    <row r="16" spans="1:7" ht="15.75" thickBot="1" x14ac:dyDescent="0.3">
      <c r="E16" s="410" t="s">
        <v>17</v>
      </c>
      <c r="F16" s="150">
        <f>SUM(F13:F15)</f>
        <v>15</v>
      </c>
      <c r="G16" s="160"/>
    </row>
    <row r="17" spans="5:7" ht="15.75" thickBot="1" x14ac:dyDescent="0.3">
      <c r="E17" s="410"/>
      <c r="F17" s="564"/>
      <c r="G17" s="160"/>
    </row>
    <row r="18" spans="5:7" ht="15.75" thickBot="1" x14ac:dyDescent="0.3">
      <c r="E18" s="735" t="s">
        <v>25</v>
      </c>
      <c r="F18" s="736"/>
      <c r="G18" s="737"/>
    </row>
    <row r="19" spans="5:7" ht="15.75" thickBot="1" x14ac:dyDescent="0.3">
      <c r="E19" s="487" t="s">
        <v>3</v>
      </c>
      <c r="F19" s="488" t="s">
        <v>4</v>
      </c>
      <c r="G19" s="489" t="s">
        <v>214</v>
      </c>
    </row>
    <row r="20" spans="5:7" ht="15.75" thickBot="1" x14ac:dyDescent="0.3">
      <c r="E20" s="412">
        <f>E7</f>
        <v>821749999</v>
      </c>
      <c r="F20" s="440">
        <f>F7</f>
        <v>765985527</v>
      </c>
      <c r="G20" s="69">
        <f>G7</f>
        <v>0.93213937077230224</v>
      </c>
    </row>
  </sheetData>
  <mergeCells count="3">
    <mergeCell ref="E11:G11"/>
    <mergeCell ref="E18:G18"/>
    <mergeCell ref="B1:G1"/>
  </mergeCells>
  <conditionalFormatting sqref="D6:D8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38"/>
  <sheetViews>
    <sheetView view="pageBreakPreview" zoomScaleNormal="80" zoomScaleSheetLayoutView="100" workbookViewId="0">
      <selection activeCell="D23" sqref="D23"/>
    </sheetView>
  </sheetViews>
  <sheetFormatPr baseColWidth="10" defaultColWidth="11.42578125" defaultRowHeight="15" x14ac:dyDescent="0.25"/>
  <cols>
    <col min="1" max="1" width="5.85546875" style="125" customWidth="1"/>
    <col min="2" max="2" width="60.5703125" style="1" customWidth="1"/>
    <col min="3" max="3" width="20.5703125" style="1" customWidth="1"/>
    <col min="4" max="4" width="25" style="1" bestFit="1" customWidth="1"/>
    <col min="5" max="5" width="26.5703125" style="40" customWidth="1"/>
    <col min="6" max="6" width="27.42578125" style="40" customWidth="1"/>
    <col min="7" max="7" width="20.5703125" style="20" customWidth="1"/>
    <col min="8" max="8" width="5.140625" style="1" customWidth="1"/>
    <col min="9" max="16384" width="11.42578125" style="1"/>
  </cols>
  <sheetData>
    <row r="1" spans="1:7" ht="69.75" customHeight="1" thickBot="1" x14ac:dyDescent="0.3">
      <c r="B1" s="742" t="s">
        <v>310</v>
      </c>
      <c r="C1" s="743"/>
      <c r="D1" s="743"/>
      <c r="E1" s="743"/>
      <c r="F1" s="743"/>
      <c r="G1" s="744"/>
    </row>
    <row r="2" spans="1:7" s="2" customFormat="1" ht="102.75" customHeight="1" thickBot="1" x14ac:dyDescent="0.3">
      <c r="A2" s="126"/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41" customFormat="1" ht="36.75" customHeight="1" x14ac:dyDescent="0.25">
      <c r="A3" s="127">
        <v>1</v>
      </c>
      <c r="B3" s="565" t="s">
        <v>193</v>
      </c>
      <c r="C3" s="419">
        <v>8</v>
      </c>
      <c r="D3" s="372">
        <f>[11]CONSOLIDADO!P117</f>
        <v>0.71879999999999999</v>
      </c>
      <c r="E3" s="566">
        <f>[11]CONSOLIDADO!Q117</f>
        <v>1031821180</v>
      </c>
      <c r="F3" s="566">
        <f>[11]CONSOLIDADO!R117</f>
        <v>296271180</v>
      </c>
      <c r="G3" s="374">
        <f>F3/E3</f>
        <v>0.28713422998353261</v>
      </c>
    </row>
    <row r="4" spans="1:7" s="41" customFormat="1" ht="36" customHeight="1" x14ac:dyDescent="0.25">
      <c r="A4" s="127">
        <v>2</v>
      </c>
      <c r="B4" s="567" t="s">
        <v>194</v>
      </c>
      <c r="C4" s="422">
        <v>3</v>
      </c>
      <c r="D4" s="376">
        <f>[11]CONSOLIDADO!P118</f>
        <v>0.91669999999999996</v>
      </c>
      <c r="E4" s="568">
        <f>[11]CONSOLIDADO!Q118</f>
        <v>1134878820</v>
      </c>
      <c r="F4" s="568">
        <f>[11]CONSOLIDADO!R118</f>
        <v>1114081771.2</v>
      </c>
      <c r="G4" s="378">
        <f t="shared" ref="G4:G22" si="0">F4/E4</f>
        <v>0.98167465245320207</v>
      </c>
    </row>
    <row r="5" spans="1:7" s="6" customFormat="1" ht="27" customHeight="1" x14ac:dyDescent="0.25">
      <c r="A5" s="127">
        <v>3</v>
      </c>
      <c r="B5" s="567" t="s">
        <v>195</v>
      </c>
      <c r="C5" s="422">
        <v>4</v>
      </c>
      <c r="D5" s="376">
        <f>[11]CONSOLIDADO!P119</f>
        <v>0.75</v>
      </c>
      <c r="E5" s="568">
        <f>[11]CONSOLIDADO!Q119</f>
        <v>1777186101</v>
      </c>
      <c r="F5" s="568">
        <f>[11]CONSOLIDADO!R119</f>
        <v>46650000</v>
      </c>
      <c r="G5" s="378">
        <f t="shared" si="0"/>
        <v>2.6249361264839198E-2</v>
      </c>
    </row>
    <row r="6" spans="1:7" s="6" customFormat="1" ht="42.75" customHeight="1" x14ac:dyDescent="0.25">
      <c r="A6" s="127">
        <v>4</v>
      </c>
      <c r="B6" s="567" t="s">
        <v>196</v>
      </c>
      <c r="C6" s="422">
        <v>2</v>
      </c>
      <c r="D6" s="376">
        <f>[11]CONSOLIDADO!P120</f>
        <v>0.65</v>
      </c>
      <c r="E6" s="568">
        <f>[11]CONSOLIDADO!Q120</f>
        <v>911200000</v>
      </c>
      <c r="F6" s="568">
        <f>[11]CONSOLIDADO!R120</f>
        <v>889950000</v>
      </c>
      <c r="G6" s="378">
        <f t="shared" si="0"/>
        <v>0.97667910447761197</v>
      </c>
    </row>
    <row r="7" spans="1:7" s="6" customFormat="1" ht="20.100000000000001" customHeight="1" x14ac:dyDescent="0.25">
      <c r="A7" s="127">
        <v>5</v>
      </c>
      <c r="B7" s="567" t="s">
        <v>197</v>
      </c>
      <c r="C7" s="422">
        <v>2</v>
      </c>
      <c r="D7" s="376">
        <f>[11]CONSOLIDADO!P121</f>
        <v>0.61670000000000003</v>
      </c>
      <c r="E7" s="568">
        <f>[11]CONSOLIDADO!Q121</f>
        <v>44850000</v>
      </c>
      <c r="F7" s="568">
        <f>[11]CONSOLIDADO!R121</f>
        <v>44850000</v>
      </c>
      <c r="G7" s="378">
        <f t="shared" si="0"/>
        <v>1</v>
      </c>
    </row>
    <row r="8" spans="1:7" s="6" customFormat="1" ht="20.100000000000001" customHeight="1" x14ac:dyDescent="0.25">
      <c r="A8" s="127">
        <v>6</v>
      </c>
      <c r="B8" s="567" t="s">
        <v>198</v>
      </c>
      <c r="C8" s="422">
        <v>2</v>
      </c>
      <c r="D8" s="376">
        <f>[11]CONSOLIDADO!P122</f>
        <v>1</v>
      </c>
      <c r="E8" s="569">
        <f>[11]CONSOLIDADO!Q122</f>
        <v>100000000</v>
      </c>
      <c r="F8" s="569">
        <f>[11]CONSOLIDADO!R122</f>
        <v>100000000</v>
      </c>
      <c r="G8" s="378">
        <f t="shared" si="0"/>
        <v>1</v>
      </c>
    </row>
    <row r="9" spans="1:7" s="6" customFormat="1" ht="20.100000000000001" customHeight="1" x14ac:dyDescent="0.25">
      <c r="A9" s="127">
        <v>7</v>
      </c>
      <c r="B9" s="567" t="s">
        <v>199</v>
      </c>
      <c r="C9" s="422">
        <v>4</v>
      </c>
      <c r="D9" s="376">
        <f>[11]CONSOLIDADO!P123</f>
        <v>0.9667</v>
      </c>
      <c r="E9" s="568">
        <f>[11]CONSOLIDADO!Q123</f>
        <v>92400000</v>
      </c>
      <c r="F9" s="568">
        <f>[11]CONSOLIDADO!R123</f>
        <v>89400000</v>
      </c>
      <c r="G9" s="378">
        <f t="shared" si="0"/>
        <v>0.96753246753246758</v>
      </c>
    </row>
    <row r="10" spans="1:7" s="6" customFormat="1" ht="20.100000000000001" customHeight="1" x14ac:dyDescent="0.25">
      <c r="A10" s="127">
        <v>8</v>
      </c>
      <c r="B10" s="567" t="s">
        <v>200</v>
      </c>
      <c r="C10" s="422">
        <v>3</v>
      </c>
      <c r="D10" s="376">
        <f>[11]CONSOLIDADO!P124</f>
        <v>0.6</v>
      </c>
      <c r="E10" s="568">
        <f>[11]CONSOLIDADO!Q124</f>
        <v>49200000</v>
      </c>
      <c r="F10" s="568">
        <f>[11]CONSOLIDADO!R124</f>
        <v>47550000</v>
      </c>
      <c r="G10" s="378">
        <f t="shared" si="0"/>
        <v>0.96646341463414631</v>
      </c>
    </row>
    <row r="11" spans="1:7" s="6" customFormat="1" ht="20.100000000000001" customHeight="1" x14ac:dyDescent="0.25">
      <c r="A11" s="127">
        <v>9</v>
      </c>
      <c r="B11" s="567" t="s">
        <v>201</v>
      </c>
      <c r="C11" s="570">
        <v>9</v>
      </c>
      <c r="D11" s="376">
        <f>[11]CONSOLIDADO!P125</f>
        <v>0.77559999999999996</v>
      </c>
      <c r="E11" s="571">
        <f>[11]CONSOLIDADO!Q125</f>
        <v>2599150720</v>
      </c>
      <c r="F11" s="571">
        <f>[11]CONSOLIDADO!R125</f>
        <v>1925347560.6199999</v>
      </c>
      <c r="G11" s="378">
        <f t="shared" si="0"/>
        <v>0.74076025903568987</v>
      </c>
    </row>
    <row r="12" spans="1:7" s="6" customFormat="1" ht="20.100000000000001" customHeight="1" x14ac:dyDescent="0.25">
      <c r="A12" s="127">
        <v>10</v>
      </c>
      <c r="B12" s="567" t="s">
        <v>202</v>
      </c>
      <c r="C12" s="422">
        <v>9</v>
      </c>
      <c r="D12" s="376">
        <f>[11]CONSOLIDADO!P126</f>
        <v>0.52890000000000004</v>
      </c>
      <c r="E12" s="568">
        <f>[11]CONSOLIDADO!Q126</f>
        <v>69000000</v>
      </c>
      <c r="F12" s="568">
        <f>[11]CONSOLIDADO!R126</f>
        <v>69000000</v>
      </c>
      <c r="G12" s="378">
        <f t="shared" si="0"/>
        <v>1</v>
      </c>
    </row>
    <row r="13" spans="1:7" s="6" customFormat="1" ht="33" customHeight="1" x14ac:dyDescent="0.25">
      <c r="A13" s="127">
        <v>11</v>
      </c>
      <c r="B13" s="567" t="s">
        <v>203</v>
      </c>
      <c r="C13" s="422">
        <v>5</v>
      </c>
      <c r="D13" s="376">
        <f>[11]CONSOLIDADO!P127</f>
        <v>0.48799999999999999</v>
      </c>
      <c r="E13" s="568">
        <f>[11]CONSOLIDADO!Q127</f>
        <v>0</v>
      </c>
      <c r="F13" s="568">
        <f>[11]CONSOLIDADO!R127</f>
        <v>0</v>
      </c>
      <c r="G13" s="378">
        <v>0</v>
      </c>
    </row>
    <row r="14" spans="1:7" s="6" customFormat="1" ht="20.100000000000001" customHeight="1" x14ac:dyDescent="0.25">
      <c r="A14" s="127">
        <v>12</v>
      </c>
      <c r="B14" s="567" t="s">
        <v>204</v>
      </c>
      <c r="C14" s="422">
        <v>2</v>
      </c>
      <c r="D14" s="376">
        <f>[11]CONSOLIDADO!P128</f>
        <v>1</v>
      </c>
      <c r="E14" s="568">
        <f>[11]CONSOLIDADO!Q128</f>
        <v>0</v>
      </c>
      <c r="F14" s="568">
        <f>[11]CONSOLIDADO!R128</f>
        <v>0</v>
      </c>
      <c r="G14" s="378">
        <v>0</v>
      </c>
    </row>
    <row r="15" spans="1:7" s="6" customFormat="1" ht="20.100000000000001" customHeight="1" x14ac:dyDescent="0.25">
      <c r="A15" s="127">
        <v>13</v>
      </c>
      <c r="B15" s="567" t="s">
        <v>205</v>
      </c>
      <c r="C15" s="422">
        <v>11</v>
      </c>
      <c r="D15" s="376">
        <f>[11]CONSOLIDADO!P129</f>
        <v>0.37819999999999998</v>
      </c>
      <c r="E15" s="568">
        <f>[11]CONSOLIDADO!Q129</f>
        <v>0</v>
      </c>
      <c r="F15" s="568">
        <f>[11]CONSOLIDADO!R129</f>
        <v>0</v>
      </c>
      <c r="G15" s="378">
        <v>0</v>
      </c>
    </row>
    <row r="16" spans="1:7" s="6" customFormat="1" ht="20.100000000000001" customHeight="1" x14ac:dyDescent="0.25">
      <c r="A16" s="127">
        <v>14</v>
      </c>
      <c r="B16" s="567" t="s">
        <v>206</v>
      </c>
      <c r="C16" s="422">
        <v>12</v>
      </c>
      <c r="D16" s="376">
        <f>[11]CONSOLIDADO!P130</f>
        <v>0.72219999999999995</v>
      </c>
      <c r="E16" s="568">
        <f>[11]CONSOLIDADO!Q130</f>
        <v>2401627319</v>
      </c>
      <c r="F16" s="568">
        <f>[11]CONSOLIDADO!R130</f>
        <v>1550602692</v>
      </c>
      <c r="G16" s="378">
        <f t="shared" si="0"/>
        <v>0.64564667454134672</v>
      </c>
    </row>
    <row r="17" spans="1:10" s="6" customFormat="1" ht="20.100000000000001" customHeight="1" x14ac:dyDescent="0.25">
      <c r="A17" s="127">
        <v>15</v>
      </c>
      <c r="B17" s="567" t="s">
        <v>207</v>
      </c>
      <c r="C17" s="422">
        <v>1</v>
      </c>
      <c r="D17" s="376">
        <f>[11]CONSOLIDADO!P131</f>
        <v>0.6</v>
      </c>
      <c r="E17" s="568">
        <f>[11]CONSOLIDADO!Q131</f>
        <v>42300000</v>
      </c>
      <c r="F17" s="568">
        <f>[11]CONSOLIDADO!R131</f>
        <v>39800000</v>
      </c>
      <c r="G17" s="378">
        <f t="shared" si="0"/>
        <v>0.94089834515366433</v>
      </c>
    </row>
    <row r="18" spans="1:10" s="6" customFormat="1" ht="20.100000000000001" customHeight="1" x14ac:dyDescent="0.25">
      <c r="A18" s="127">
        <v>16</v>
      </c>
      <c r="B18" s="567" t="s">
        <v>208</v>
      </c>
      <c r="C18" s="422">
        <v>19</v>
      </c>
      <c r="D18" s="376">
        <f>[11]CONSOLIDADO!P132</f>
        <v>0.80700000000000005</v>
      </c>
      <c r="E18" s="568">
        <f>[11]CONSOLIDADO!Q132</f>
        <v>695900000</v>
      </c>
      <c r="F18" s="568">
        <f>[11]CONSOLIDADO!R132</f>
        <v>594990000</v>
      </c>
      <c r="G18" s="378">
        <f t="shared" si="0"/>
        <v>0.85499353355367147</v>
      </c>
    </row>
    <row r="19" spans="1:10" s="6" customFormat="1" ht="20.100000000000001" customHeight="1" x14ac:dyDescent="0.25">
      <c r="A19" s="127">
        <v>17</v>
      </c>
      <c r="B19" s="567" t="s">
        <v>209</v>
      </c>
      <c r="C19" s="422">
        <v>4</v>
      </c>
      <c r="D19" s="376">
        <f>[11]CONSOLIDADO!P133</f>
        <v>0.75</v>
      </c>
      <c r="E19" s="568">
        <f>[11]CONSOLIDADO!Q133</f>
        <v>290647294</v>
      </c>
      <c r="F19" s="568">
        <f>[11]CONSOLIDADO!R133</f>
        <v>91457000</v>
      </c>
      <c r="G19" s="378">
        <f t="shared" si="0"/>
        <v>0.31466661444300253</v>
      </c>
    </row>
    <row r="20" spans="1:10" s="6" customFormat="1" ht="20.100000000000001" customHeight="1" x14ac:dyDescent="0.25">
      <c r="A20" s="127">
        <v>18</v>
      </c>
      <c r="B20" s="567" t="s">
        <v>210</v>
      </c>
      <c r="C20" s="422">
        <v>15</v>
      </c>
      <c r="D20" s="376">
        <f>[11]CONSOLIDADO!P134</f>
        <v>0.91</v>
      </c>
      <c r="E20" s="568">
        <f>[11]CONSOLIDADO!Q134</f>
        <v>690086193</v>
      </c>
      <c r="F20" s="568">
        <f>[11]CONSOLIDADO!R134</f>
        <v>550295516</v>
      </c>
      <c r="G20" s="378">
        <f t="shared" si="0"/>
        <v>0.79743012044294004</v>
      </c>
    </row>
    <row r="21" spans="1:10" s="6" customFormat="1" ht="20.100000000000001" customHeight="1" x14ac:dyDescent="0.25">
      <c r="A21" s="127">
        <v>19</v>
      </c>
      <c r="B21" s="567" t="s">
        <v>211</v>
      </c>
      <c r="C21" s="422">
        <v>9</v>
      </c>
      <c r="D21" s="376">
        <f>[11]CONSOLIDADO!P135</f>
        <v>0.56279999999999997</v>
      </c>
      <c r="E21" s="568">
        <f>[11]CONSOLIDADO!Q135</f>
        <v>188950000</v>
      </c>
      <c r="F21" s="568">
        <f>[11]CONSOLIDADO!R135</f>
        <v>188950000</v>
      </c>
      <c r="G21" s="378">
        <f t="shared" si="0"/>
        <v>1</v>
      </c>
    </row>
    <row r="22" spans="1:10" s="6" customFormat="1" ht="20.100000000000001" customHeight="1" thickBot="1" x14ac:dyDescent="0.3">
      <c r="A22" s="127">
        <v>20</v>
      </c>
      <c r="B22" s="572" t="s">
        <v>212</v>
      </c>
      <c r="C22" s="573">
        <v>1</v>
      </c>
      <c r="D22" s="382">
        <f>[11]CONSOLIDADO!P136</f>
        <v>0.55000000000000004</v>
      </c>
      <c r="E22" s="574">
        <f>[11]CONSOLIDADO!Q136</f>
        <v>50700000</v>
      </c>
      <c r="F22" s="574">
        <f>[11]CONSOLIDADO!R136</f>
        <v>49050000</v>
      </c>
      <c r="G22" s="460">
        <f t="shared" si="0"/>
        <v>0.96745562130177509</v>
      </c>
    </row>
    <row r="23" spans="1:10" s="6" customFormat="1" ht="18.75" thickBot="1" x14ac:dyDescent="0.3">
      <c r="A23" s="128"/>
      <c r="B23" s="385" t="s">
        <v>0</v>
      </c>
      <c r="C23" s="575">
        <f>SUM(C3:C22)</f>
        <v>125</v>
      </c>
      <c r="D23" s="576">
        <f>SUM(D3:D22)/20</f>
        <v>0.71457999999999999</v>
      </c>
      <c r="E23" s="577">
        <f>SUM(E3:E22)</f>
        <v>12169897627</v>
      </c>
      <c r="F23" s="577">
        <f>SUM(F3:F22)</f>
        <v>7688245719.8199997</v>
      </c>
      <c r="G23" s="462">
        <f>F23/E23</f>
        <v>0.63174284250041213</v>
      </c>
      <c r="I23" s="42"/>
      <c r="J23" s="49"/>
    </row>
    <row r="24" spans="1:10" s="6" customFormat="1" ht="14.1" hidden="1" customHeight="1" x14ac:dyDescent="0.25">
      <c r="A24" s="128"/>
      <c r="B24" s="99"/>
      <c r="C24" s="130"/>
      <c r="D24" s="100">
        <v>1</v>
      </c>
      <c r="E24" s="131"/>
      <c r="F24" s="131"/>
      <c r="G24" s="100">
        <v>1</v>
      </c>
      <c r="I24" s="42"/>
      <c r="J24" s="49"/>
    </row>
    <row r="25" spans="1:10" s="6" customFormat="1" ht="14.1" hidden="1" customHeight="1" x14ac:dyDescent="0.25">
      <c r="A25" s="128"/>
      <c r="B25" s="99"/>
      <c r="C25" s="130"/>
      <c r="D25" s="100">
        <v>0</v>
      </c>
      <c r="E25" s="131"/>
      <c r="F25" s="131"/>
      <c r="G25" s="100">
        <v>0</v>
      </c>
      <c r="I25" s="42"/>
      <c r="J25" s="49"/>
    </row>
    <row r="26" spans="1:10" ht="17.100000000000001" customHeight="1" x14ac:dyDescent="0.25">
      <c r="E26" s="38"/>
      <c r="F26" s="38"/>
      <c r="G26" s="36"/>
      <c r="I26" s="35"/>
    </row>
    <row r="27" spans="1:10" ht="17.100000000000001" customHeight="1" x14ac:dyDescent="0.25">
      <c r="B27" s="25"/>
      <c r="C27" s="25"/>
      <c r="D27" s="25"/>
      <c r="E27" s="38"/>
      <c r="F27" s="38"/>
      <c r="G27" s="36"/>
      <c r="I27" s="35"/>
    </row>
    <row r="28" spans="1:10" ht="15.75" thickBot="1" x14ac:dyDescent="0.3">
      <c r="E28" s="39"/>
      <c r="F28" s="39"/>
      <c r="G28" s="37"/>
    </row>
    <row r="29" spans="1:10" x14ac:dyDescent="0.25">
      <c r="B29" s="15"/>
      <c r="C29" s="15"/>
      <c r="D29" s="15"/>
      <c r="E29" s="760" t="s">
        <v>16</v>
      </c>
      <c r="F29" s="761"/>
      <c r="G29" s="762"/>
    </row>
    <row r="30" spans="1:10" x14ac:dyDescent="0.25">
      <c r="E30" s="71" t="s">
        <v>13</v>
      </c>
      <c r="F30" s="70" t="s">
        <v>14</v>
      </c>
      <c r="G30" s="72" t="s">
        <v>15</v>
      </c>
    </row>
    <row r="31" spans="1:10" x14ac:dyDescent="0.25">
      <c r="B31" s="15"/>
      <c r="C31" s="15"/>
      <c r="D31" s="15"/>
      <c r="E31" s="151" t="s">
        <v>326</v>
      </c>
      <c r="F31" s="186">
        <v>58</v>
      </c>
      <c r="G31" s="24">
        <f>F31/F34</f>
        <v>0.46400000000000002</v>
      </c>
    </row>
    <row r="32" spans="1:10" s="18" customFormat="1" x14ac:dyDescent="0.25">
      <c r="A32" s="129"/>
      <c r="B32" s="34"/>
      <c r="C32" s="34"/>
      <c r="D32" s="34"/>
      <c r="E32" s="153" t="s">
        <v>325</v>
      </c>
      <c r="F32" s="154">
        <v>30</v>
      </c>
      <c r="G32" s="24">
        <f>F32/F34</f>
        <v>0.24</v>
      </c>
    </row>
    <row r="33" spans="1:9" s="18" customFormat="1" ht="15.75" thickBot="1" x14ac:dyDescent="0.3">
      <c r="A33" s="129"/>
      <c r="E33" s="155" t="s">
        <v>321</v>
      </c>
      <c r="F33" s="156">
        <v>37</v>
      </c>
      <c r="G33" s="187">
        <f>F33/F34</f>
        <v>0.29599999999999999</v>
      </c>
    </row>
    <row r="34" spans="1:9" ht="15.75" thickBot="1" x14ac:dyDescent="0.3">
      <c r="E34" s="157" t="s">
        <v>17</v>
      </c>
      <c r="F34" s="190">
        <f>SUM(F31:F33)</f>
        <v>125</v>
      </c>
      <c r="G34" s="191"/>
    </row>
    <row r="35" spans="1:9" ht="15.75" thickBot="1" x14ac:dyDescent="0.3">
      <c r="D35" s="22"/>
      <c r="E35" s="188"/>
      <c r="F35" s="189"/>
      <c r="G35" s="50"/>
      <c r="H35" s="22"/>
      <c r="I35" s="22"/>
    </row>
    <row r="36" spans="1:9" ht="15.75" thickBot="1" x14ac:dyDescent="0.3">
      <c r="E36" s="745" t="s">
        <v>7</v>
      </c>
      <c r="F36" s="746"/>
      <c r="G36" s="747"/>
    </row>
    <row r="37" spans="1:9" ht="15.75" thickBot="1" x14ac:dyDescent="0.3">
      <c r="E37" s="163" t="s">
        <v>3</v>
      </c>
      <c r="F37" s="164" t="s">
        <v>4</v>
      </c>
      <c r="G37" s="30" t="s">
        <v>214</v>
      </c>
    </row>
    <row r="38" spans="1:9" ht="15.75" thickBot="1" x14ac:dyDescent="0.3">
      <c r="E38" s="28">
        <f>E23</f>
        <v>12169897627</v>
      </c>
      <c r="F38" s="165">
        <f>F23</f>
        <v>7688245719.8199997</v>
      </c>
      <c r="G38" s="29">
        <f>F38/E38</f>
        <v>0.63174284250041213</v>
      </c>
    </row>
  </sheetData>
  <mergeCells count="3">
    <mergeCell ref="B1:G1"/>
    <mergeCell ref="E36:G36"/>
    <mergeCell ref="E29:G29"/>
  </mergeCells>
  <conditionalFormatting sqref="D3:D25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6"/>
  <sheetViews>
    <sheetView view="pageBreakPreview" zoomScaleNormal="50" zoomScaleSheetLayoutView="100" workbookViewId="0">
      <selection activeCell="D6" sqref="D6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7109375" style="3" customWidth="1"/>
    <col min="6" max="6" width="23.14062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42" t="s">
        <v>311</v>
      </c>
      <c r="C1" s="743"/>
      <c r="D1" s="743"/>
      <c r="E1" s="743"/>
      <c r="F1" s="743"/>
      <c r="G1" s="744"/>
    </row>
    <row r="2" spans="1:7" s="2" customFormat="1" ht="78.75" customHeight="1" thickBot="1" x14ac:dyDescent="0.3">
      <c r="B2" s="14" t="s">
        <v>1</v>
      </c>
      <c r="C2" s="166" t="s">
        <v>55</v>
      </c>
      <c r="D2" s="166" t="s">
        <v>63</v>
      </c>
      <c r="E2" s="167" t="s">
        <v>57</v>
      </c>
      <c r="F2" s="168" t="s">
        <v>58</v>
      </c>
      <c r="G2" s="169" t="s">
        <v>56</v>
      </c>
    </row>
    <row r="3" spans="1:7" s="2" customFormat="1" ht="45" customHeight="1" x14ac:dyDescent="0.25">
      <c r="A3" s="4">
        <v>1</v>
      </c>
      <c r="B3" s="346" t="s">
        <v>139</v>
      </c>
      <c r="C3" s="371">
        <v>2</v>
      </c>
      <c r="D3" s="376">
        <v>0.82</v>
      </c>
      <c r="E3" s="377">
        <f>[12]CONSOLIDADO!$E$15</f>
        <v>298500000</v>
      </c>
      <c r="F3" s="377">
        <f>[12]CONSOLIDADO!$F$15</f>
        <v>286300000</v>
      </c>
      <c r="G3" s="540">
        <f>F3/E3</f>
        <v>0.95912897822445564</v>
      </c>
    </row>
    <row r="4" spans="1:7" s="2" customFormat="1" ht="36.75" customHeight="1" x14ac:dyDescent="0.25">
      <c r="A4" s="4">
        <v>2</v>
      </c>
      <c r="B4" s="351" t="s">
        <v>140</v>
      </c>
      <c r="C4" s="375">
        <v>3</v>
      </c>
      <c r="D4" s="376">
        <v>0.99670000000000003</v>
      </c>
      <c r="E4" s="377">
        <f>[12]CONSOLIDADO!$E$16</f>
        <v>216500000</v>
      </c>
      <c r="F4" s="377">
        <f>[12]CONSOLIDADO!$F$16</f>
        <v>177100000</v>
      </c>
      <c r="G4" s="447">
        <f>F4/E4</f>
        <v>0.81801385681293304</v>
      </c>
    </row>
    <row r="5" spans="1:7" s="2" customFormat="1" ht="36.75" customHeight="1" thickBot="1" x14ac:dyDescent="0.3">
      <c r="A5" s="4">
        <v>3</v>
      </c>
      <c r="B5" s="360" t="s">
        <v>141</v>
      </c>
      <c r="C5" s="430">
        <v>2</v>
      </c>
      <c r="D5" s="578">
        <v>0.75</v>
      </c>
      <c r="E5" s="377">
        <f>[12]CONSOLIDADO!$E$17</f>
        <v>65000000</v>
      </c>
      <c r="F5" s="377">
        <f>[12]CONSOLIDADO!$F$17</f>
        <v>51600000</v>
      </c>
      <c r="G5" s="579">
        <f>F5/E5</f>
        <v>0.79384615384615387</v>
      </c>
    </row>
    <row r="6" spans="1:7" ht="26.25" customHeight="1" thickBot="1" x14ac:dyDescent="0.3">
      <c r="B6" s="297" t="s">
        <v>0</v>
      </c>
      <c r="C6" s="298">
        <f>SUM(C3:C5)</f>
        <v>7</v>
      </c>
      <c r="D6" s="299">
        <f>SUM(D3:D5)/3</f>
        <v>0.8555666666666667</v>
      </c>
      <c r="E6" s="580">
        <f>SUM(E3:E5)</f>
        <v>580000000</v>
      </c>
      <c r="F6" s="580">
        <f>SUM(F3:F5)</f>
        <v>515000000</v>
      </c>
      <c r="G6" s="581">
        <f>F6/E6</f>
        <v>0.88793103448275867</v>
      </c>
    </row>
    <row r="7" spans="1:7" ht="17.100000000000001" hidden="1" customHeight="1" x14ac:dyDescent="0.25">
      <c r="B7" s="25"/>
      <c r="C7" s="253"/>
      <c r="D7" s="120">
        <v>1</v>
      </c>
      <c r="E7" s="31"/>
      <c r="F7" s="31"/>
      <c r="G7" s="104">
        <v>1</v>
      </c>
    </row>
    <row r="8" spans="1:7" ht="17.100000000000001" hidden="1" customHeight="1" x14ac:dyDescent="0.25">
      <c r="B8" s="25"/>
      <c r="C8" s="25"/>
      <c r="D8" s="120">
        <v>0</v>
      </c>
      <c r="E8" s="31"/>
      <c r="F8" s="31"/>
      <c r="G8" s="32">
        <v>0</v>
      </c>
    </row>
    <row r="9" spans="1:7" ht="6.75" customHeight="1" x14ac:dyDescent="0.25">
      <c r="B9" s="25"/>
      <c r="C9" s="25"/>
      <c r="D9" s="25"/>
      <c r="E9" s="31"/>
      <c r="F9" s="31"/>
      <c r="G9" s="32"/>
    </row>
    <row r="10" spans="1:7" ht="6.75" customHeight="1" thickBot="1" x14ac:dyDescent="0.3">
      <c r="B10" s="25"/>
      <c r="C10" s="25"/>
      <c r="D10" s="25"/>
      <c r="E10" s="31"/>
      <c r="F10" s="31"/>
      <c r="G10" s="32"/>
    </row>
    <row r="11" spans="1:7" ht="15.75" thickBot="1" x14ac:dyDescent="0.3">
      <c r="B11" s="15"/>
      <c r="C11" s="15"/>
      <c r="D11" s="15"/>
      <c r="E11" s="745" t="s">
        <v>16</v>
      </c>
      <c r="F11" s="746"/>
      <c r="G11" s="747"/>
    </row>
    <row r="12" spans="1:7" s="2" customFormat="1" ht="15.75" thickBot="1" x14ac:dyDescent="0.3">
      <c r="A12" s="1"/>
      <c r="B12" s="15"/>
      <c r="C12" s="15"/>
      <c r="D12" s="15"/>
      <c r="E12" s="132" t="s">
        <v>13</v>
      </c>
      <c r="F12" s="133" t="s">
        <v>14</v>
      </c>
      <c r="G12" s="134" t="s">
        <v>15</v>
      </c>
    </row>
    <row r="13" spans="1:7" s="2" customFormat="1" x14ac:dyDescent="0.25">
      <c r="A13" s="1"/>
      <c r="B13" s="15"/>
      <c r="C13" s="15"/>
      <c r="D13" s="15"/>
      <c r="E13" s="151" t="s">
        <v>326</v>
      </c>
      <c r="F13" s="152">
        <v>5</v>
      </c>
      <c r="G13" s="23">
        <f>F13/F16</f>
        <v>0.7142857142857143</v>
      </c>
    </row>
    <row r="14" spans="1:7" s="2" customFormat="1" x14ac:dyDescent="0.25">
      <c r="A14" s="1"/>
      <c r="B14" s="15"/>
      <c r="C14" s="15"/>
      <c r="D14" s="15"/>
      <c r="E14" s="153" t="s">
        <v>325</v>
      </c>
      <c r="F14" s="154">
        <v>1</v>
      </c>
      <c r="G14" s="23">
        <f>F14/F16</f>
        <v>0.14285714285714285</v>
      </c>
    </row>
    <row r="15" spans="1:7" ht="15.75" thickBot="1" x14ac:dyDescent="0.3">
      <c r="B15" s="15"/>
      <c r="C15" s="15"/>
      <c r="D15" s="15"/>
      <c r="E15" s="155" t="s">
        <v>321</v>
      </c>
      <c r="F15" s="156">
        <v>1</v>
      </c>
      <c r="G15" s="23">
        <f>F15/F16</f>
        <v>0.14285714285714285</v>
      </c>
    </row>
    <row r="16" spans="1:7" ht="15.75" thickBot="1" x14ac:dyDescent="0.3">
      <c r="B16" s="15"/>
      <c r="C16" s="15"/>
      <c r="D16" s="15"/>
      <c r="E16" s="157" t="s">
        <v>17</v>
      </c>
      <c r="F16" s="158">
        <v>7</v>
      </c>
      <c r="G16" s="50"/>
    </row>
    <row r="17" spans="1:7" ht="15.75" thickBot="1" x14ac:dyDescent="0.3">
      <c r="B17" s="15"/>
      <c r="C17" s="15"/>
      <c r="D17" s="15"/>
      <c r="E17" s="192"/>
      <c r="F17" s="193"/>
      <c r="G17" s="33"/>
    </row>
    <row r="18" spans="1:7" ht="15.75" thickBot="1" x14ac:dyDescent="0.3">
      <c r="B18" s="15"/>
      <c r="C18" s="15"/>
      <c r="D18" s="15"/>
      <c r="E18" s="763" t="s">
        <v>8</v>
      </c>
      <c r="F18" s="764"/>
      <c r="G18" s="765"/>
    </row>
    <row r="19" spans="1:7" s="2" customFormat="1" ht="15.75" thickBot="1" x14ac:dyDescent="0.3">
      <c r="A19" s="1"/>
      <c r="B19" s="15"/>
      <c r="C19" s="15"/>
      <c r="D19" s="15"/>
      <c r="E19" s="132" t="s">
        <v>3</v>
      </c>
      <c r="F19" s="133" t="s">
        <v>4</v>
      </c>
      <c r="G19" s="30" t="s">
        <v>214</v>
      </c>
    </row>
    <row r="20" spans="1:7" s="2" customFormat="1" ht="15.75" thickBot="1" x14ac:dyDescent="0.3">
      <c r="A20" s="1"/>
      <c r="E20" s="194">
        <f>E6</f>
        <v>580000000</v>
      </c>
      <c r="F20" s="195">
        <f>F6</f>
        <v>515000000</v>
      </c>
      <c r="G20" s="29">
        <f>F20/E20</f>
        <v>0.88793103448275867</v>
      </c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E27" s="3"/>
      <c r="F27" s="3"/>
    </row>
    <row r="28" spans="1:7" s="2" customFormat="1" x14ac:dyDescent="0.25">
      <c r="A28" s="1"/>
      <c r="E28" s="3"/>
      <c r="F28" s="3"/>
    </row>
    <row r="29" spans="1:7" s="2" customFormat="1" x14ac:dyDescent="0.25">
      <c r="A29" s="1"/>
      <c r="E29" s="3"/>
      <c r="F29" s="3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G34" s="2"/>
    </row>
    <row r="35" spans="1:7" s="3" customFormat="1" x14ac:dyDescent="0.25">
      <c r="A35" s="1"/>
      <c r="G35" s="2"/>
    </row>
    <row r="36" spans="1:7" s="3" customFormat="1" x14ac:dyDescent="0.25">
      <c r="A36" s="1"/>
      <c r="G36" s="2"/>
    </row>
  </sheetData>
  <mergeCells count="3">
    <mergeCell ref="B1:G1"/>
    <mergeCell ref="E18:G18"/>
    <mergeCell ref="E11:G11"/>
  </mergeCells>
  <conditionalFormatting sqref="D6:D7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5"/>
  <sheetViews>
    <sheetView view="pageBreakPreview" zoomScaleNormal="41" zoomScaleSheetLayoutView="100" workbookViewId="0">
      <selection activeCell="D12" sqref="D12"/>
    </sheetView>
  </sheetViews>
  <sheetFormatPr baseColWidth="10" defaultColWidth="11.42578125" defaultRowHeight="15" x14ac:dyDescent="0.25"/>
  <cols>
    <col min="1" max="1" width="3" style="1" bestFit="1" customWidth="1"/>
    <col min="2" max="2" width="62.42578125" style="1" customWidth="1"/>
    <col min="3" max="4" width="20.5703125" style="1" customWidth="1"/>
    <col min="5" max="5" width="24.42578125" style="3" customWidth="1"/>
    <col min="6" max="6" width="23.8554687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42" t="s">
        <v>312</v>
      </c>
      <c r="C1" s="743"/>
      <c r="D1" s="743"/>
      <c r="E1" s="743"/>
      <c r="F1" s="743"/>
      <c r="G1" s="744"/>
    </row>
    <row r="2" spans="1:7" s="2" customFormat="1" ht="87" customHeight="1" thickBot="1" x14ac:dyDescent="0.3">
      <c r="B2" s="14" t="s">
        <v>1</v>
      </c>
      <c r="C2" s="166" t="s">
        <v>55</v>
      </c>
      <c r="D2" s="166" t="s">
        <v>63</v>
      </c>
      <c r="E2" s="167" t="s">
        <v>57</v>
      </c>
      <c r="F2" s="168" t="s">
        <v>58</v>
      </c>
      <c r="G2" s="169" t="s">
        <v>56</v>
      </c>
    </row>
    <row r="3" spans="1:7" s="2" customFormat="1" ht="81" customHeight="1" thickBot="1" x14ac:dyDescent="0.3">
      <c r="A3" s="4">
        <v>1</v>
      </c>
      <c r="B3" s="582" t="s">
        <v>164</v>
      </c>
      <c r="C3" s="583">
        <f>[13]CONSOLIDADO!B14</f>
        <v>7</v>
      </c>
      <c r="D3" s="584">
        <f>[13]CONSOLIDADO!C14</f>
        <v>0.76</v>
      </c>
      <c r="E3" s="585">
        <f>[13]CONSOLIDADO!D14</f>
        <v>569495000</v>
      </c>
      <c r="F3" s="586">
        <f>[13]CONSOLIDADO!E14</f>
        <v>439954390</v>
      </c>
      <c r="G3" s="587">
        <f>[13]CONSOLIDADO!F14</f>
        <v>0.77253424525237269</v>
      </c>
    </row>
    <row r="4" spans="1:7" s="2" customFormat="1" ht="36.75" customHeight="1" thickBot="1" x14ac:dyDescent="0.3">
      <c r="A4" s="4"/>
      <c r="B4" s="455" t="s">
        <v>0</v>
      </c>
      <c r="C4" s="499">
        <v>7</v>
      </c>
      <c r="D4" s="500">
        <f>D3</f>
        <v>0.76</v>
      </c>
      <c r="E4" s="588">
        <f>SUM(E3:E3)</f>
        <v>569495000</v>
      </c>
      <c r="F4" s="588">
        <f>SUM(F3:F3)</f>
        <v>439954390</v>
      </c>
      <c r="G4" s="581">
        <f>F4/E4</f>
        <v>0.77253424525237269</v>
      </c>
    </row>
    <row r="5" spans="1:7" s="2" customFormat="1" ht="23.1" hidden="1" customHeight="1" x14ac:dyDescent="0.25">
      <c r="A5" s="4"/>
      <c r="B5" s="94"/>
      <c r="C5" s="95"/>
      <c r="D5" s="103">
        <v>1</v>
      </c>
      <c r="E5" s="115"/>
      <c r="F5" s="115"/>
      <c r="G5" s="103">
        <v>1</v>
      </c>
    </row>
    <row r="6" spans="1:7" s="2" customFormat="1" ht="33" hidden="1" customHeight="1" x14ac:dyDescent="0.25">
      <c r="A6" s="4"/>
      <c r="B6" s="25"/>
      <c r="C6" s="25"/>
      <c r="D6" s="103">
        <v>0</v>
      </c>
      <c r="E6" s="31"/>
      <c r="F6" s="31"/>
      <c r="G6" s="212">
        <v>0</v>
      </c>
    </row>
    <row r="7" spans="1:7" ht="17.100000000000001" customHeight="1" thickBot="1" x14ac:dyDescent="0.3">
      <c r="B7" s="25"/>
      <c r="C7" s="25"/>
      <c r="D7" s="25"/>
      <c r="E7" s="31"/>
      <c r="F7" s="31"/>
      <c r="G7" s="32"/>
    </row>
    <row r="8" spans="1:7" ht="17.100000000000001" customHeight="1" thickBot="1" x14ac:dyDescent="0.3">
      <c r="B8" s="15"/>
      <c r="C8" s="15"/>
      <c r="D8" s="15"/>
      <c r="E8" s="745" t="s">
        <v>16</v>
      </c>
      <c r="F8" s="746"/>
      <c r="G8" s="747"/>
    </row>
    <row r="9" spans="1:7" ht="17.100000000000001" customHeight="1" thickBot="1" x14ac:dyDescent="0.3">
      <c r="B9" s="15"/>
      <c r="C9" s="15"/>
      <c r="D9" s="15"/>
      <c r="E9" s="132" t="s">
        <v>13</v>
      </c>
      <c r="F9" s="133" t="s">
        <v>14</v>
      </c>
      <c r="G9" s="134" t="s">
        <v>15</v>
      </c>
    </row>
    <row r="10" spans="1:7" x14ac:dyDescent="0.25">
      <c r="B10" s="15"/>
      <c r="C10" s="15"/>
      <c r="D10" s="15"/>
      <c r="E10" s="151" t="s">
        <v>326</v>
      </c>
      <c r="F10" s="152">
        <v>4</v>
      </c>
      <c r="G10" s="23">
        <f>F10/F13</f>
        <v>0.5714285714285714</v>
      </c>
    </row>
    <row r="11" spans="1:7" s="2" customFormat="1" x14ac:dyDescent="0.25">
      <c r="A11" s="1"/>
      <c r="B11" s="15"/>
      <c r="C11" s="15"/>
      <c r="D11" s="15"/>
      <c r="E11" s="153" t="s">
        <v>325</v>
      </c>
      <c r="F11" s="154"/>
      <c r="G11" s="23">
        <f>F11/F13</f>
        <v>0</v>
      </c>
    </row>
    <row r="12" spans="1:7" s="2" customFormat="1" ht="15.75" thickBot="1" x14ac:dyDescent="0.3">
      <c r="A12" s="1"/>
      <c r="B12" s="15"/>
      <c r="C12" s="15"/>
      <c r="D12" s="15"/>
      <c r="E12" s="155" t="s">
        <v>321</v>
      </c>
      <c r="F12" s="156">
        <v>3</v>
      </c>
      <c r="G12" s="23">
        <f>F12/F13</f>
        <v>0.42857142857142855</v>
      </c>
    </row>
    <row r="13" spans="1:7" s="2" customFormat="1" ht="15.75" thickBot="1" x14ac:dyDescent="0.3">
      <c r="A13" s="1"/>
      <c r="B13" s="15"/>
      <c r="C13" s="15"/>
      <c r="D13" s="15"/>
      <c r="E13" s="157" t="s">
        <v>17</v>
      </c>
      <c r="F13" s="158">
        <f>SUM(F10:F12)</f>
        <v>7</v>
      </c>
      <c r="G13" s="50"/>
    </row>
    <row r="14" spans="1:7" ht="15.75" thickBot="1" x14ac:dyDescent="0.3">
      <c r="B14" s="15"/>
      <c r="C14" s="15"/>
      <c r="D14" s="15"/>
      <c r="E14" s="192"/>
      <c r="F14" s="193"/>
      <c r="G14" s="33"/>
    </row>
    <row r="15" spans="1:7" ht="15.75" thickBot="1" x14ac:dyDescent="0.3">
      <c r="B15" s="15"/>
      <c r="C15" s="15"/>
      <c r="D15" s="15"/>
      <c r="E15" s="763" t="s">
        <v>8</v>
      </c>
      <c r="F15" s="764"/>
      <c r="G15" s="765"/>
    </row>
    <row r="16" spans="1:7" ht="15.75" thickBot="1" x14ac:dyDescent="0.3">
      <c r="B16" s="15"/>
      <c r="C16" s="15"/>
      <c r="D16" s="15"/>
      <c r="E16" s="132" t="s">
        <v>3</v>
      </c>
      <c r="F16" s="133" t="s">
        <v>4</v>
      </c>
      <c r="G16" s="30" t="s">
        <v>214</v>
      </c>
    </row>
    <row r="17" spans="1:7" ht="15.75" thickBot="1" x14ac:dyDescent="0.3">
      <c r="B17" s="2"/>
      <c r="C17" s="2"/>
      <c r="D17" s="2"/>
      <c r="E17" s="194">
        <f>E4</f>
        <v>569495000</v>
      </c>
      <c r="F17" s="195">
        <f>F4</f>
        <v>439954390</v>
      </c>
      <c r="G17" s="29">
        <f>F17/E17</f>
        <v>0.77253424525237269</v>
      </c>
    </row>
    <row r="18" spans="1:7" s="2" customFormat="1" x14ac:dyDescent="0.25">
      <c r="A18" s="1"/>
      <c r="E18" s="3"/>
      <c r="F18" s="3"/>
    </row>
    <row r="19" spans="1:7" s="2" customFormat="1" x14ac:dyDescent="0.25">
      <c r="A19" s="1"/>
      <c r="E19" s="3"/>
      <c r="F19" s="3"/>
    </row>
    <row r="20" spans="1:7" s="2" customFormat="1" x14ac:dyDescent="0.25">
      <c r="A20" s="1"/>
      <c r="E20" s="3"/>
      <c r="F20" s="3"/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B27" s="3"/>
      <c r="C27" s="3"/>
      <c r="D27" s="3"/>
      <c r="E27" s="3"/>
      <c r="F27" s="3"/>
    </row>
    <row r="28" spans="1:7" s="2" customFormat="1" x14ac:dyDescent="0.25">
      <c r="A28" s="1"/>
      <c r="B28" s="3"/>
      <c r="C28" s="3"/>
      <c r="D28" s="3"/>
      <c r="E28" s="3"/>
      <c r="F28" s="3"/>
    </row>
    <row r="29" spans="1:7" s="3" customFormat="1" x14ac:dyDescent="0.25">
      <c r="A29" s="1"/>
      <c r="G29" s="2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B34" s="1"/>
      <c r="C34" s="1"/>
      <c r="D34" s="1"/>
      <c r="G34" s="2"/>
    </row>
    <row r="35" spans="1:7" s="3" customFormat="1" x14ac:dyDescent="0.25">
      <c r="A35" s="1"/>
      <c r="B35" s="1"/>
      <c r="C35" s="1"/>
      <c r="D35" s="1"/>
      <c r="G35" s="2"/>
    </row>
  </sheetData>
  <mergeCells count="3">
    <mergeCell ref="B1:G1"/>
    <mergeCell ref="E8:G8"/>
    <mergeCell ref="E15:G15"/>
  </mergeCells>
  <conditionalFormatting sqref="D3:D6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">
    <cfRule type="colorScale" priority="2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">
    <cfRule type="colorScale" priority="2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5"/>
  <sheetViews>
    <sheetView view="pageBreakPreview" zoomScaleNormal="80" zoomScaleSheetLayoutView="100" workbookViewId="0">
      <selection activeCell="H3" sqref="H3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42578125" style="3" customWidth="1"/>
    <col min="6" max="6" width="28" style="3" bestFit="1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758" t="s">
        <v>313</v>
      </c>
      <c r="C1" s="759"/>
      <c r="D1" s="759"/>
      <c r="E1" s="759"/>
      <c r="F1" s="759"/>
      <c r="G1" s="766"/>
    </row>
    <row r="2" spans="1:7" s="2" customFormat="1" ht="78" customHeight="1" thickBot="1" x14ac:dyDescent="0.3">
      <c r="B2" s="14" t="s">
        <v>1</v>
      </c>
      <c r="C2" s="166" t="s">
        <v>55</v>
      </c>
      <c r="D2" s="166" t="s">
        <v>63</v>
      </c>
      <c r="E2" s="167" t="s">
        <v>57</v>
      </c>
      <c r="F2" s="168" t="s">
        <v>58</v>
      </c>
      <c r="G2" s="169" t="s">
        <v>56</v>
      </c>
    </row>
    <row r="3" spans="1:7" s="2" customFormat="1" ht="80.25" customHeight="1" x14ac:dyDescent="0.25">
      <c r="A3" s="4">
        <v>1</v>
      </c>
      <c r="B3" s="346" t="s">
        <v>165</v>
      </c>
      <c r="C3" s="371">
        <v>2</v>
      </c>
      <c r="D3" s="589">
        <v>0.75</v>
      </c>
      <c r="E3" s="590">
        <f>[14]CONSOLIDADO!D25</f>
        <v>10000000</v>
      </c>
      <c r="F3" s="591">
        <f>[14]CONSOLIDADO!E25</f>
        <v>10000000</v>
      </c>
      <c r="G3" s="393">
        <f>F3/E3</f>
        <v>1</v>
      </c>
    </row>
    <row r="4" spans="1:7" s="2" customFormat="1" ht="81" customHeight="1" x14ac:dyDescent="0.25">
      <c r="A4" s="13">
        <v>2</v>
      </c>
      <c r="B4" s="351" t="s">
        <v>166</v>
      </c>
      <c r="C4" s="375">
        <v>6</v>
      </c>
      <c r="D4" s="589">
        <v>0.5444</v>
      </c>
      <c r="E4" s="590">
        <f>[14]CONSOLIDADO!D26</f>
        <v>185763602</v>
      </c>
      <c r="F4" s="591">
        <f>[14]CONSOLIDADO!E26</f>
        <v>172067067</v>
      </c>
      <c r="G4" s="396">
        <f>F4/E4</f>
        <v>0.92626900613178242</v>
      </c>
    </row>
    <row r="5" spans="1:7" s="2" customFormat="1" ht="36.6" customHeight="1" thickBot="1" x14ac:dyDescent="0.3">
      <c r="A5" s="4">
        <v>3</v>
      </c>
      <c r="B5" s="360" t="s">
        <v>167</v>
      </c>
      <c r="C5" s="381">
        <v>3</v>
      </c>
      <c r="D5" s="589">
        <v>1</v>
      </c>
      <c r="E5" s="590">
        <f>[14]CONSOLIDADO!D27</f>
        <v>14500000</v>
      </c>
      <c r="F5" s="590">
        <f>[14]CONSOLIDADO!E27</f>
        <v>8853333</v>
      </c>
      <c r="G5" s="404">
        <f>F5/E5</f>
        <v>0.61057468965517236</v>
      </c>
    </row>
    <row r="6" spans="1:7" ht="30.75" customHeight="1" thickBot="1" x14ac:dyDescent="0.3">
      <c r="B6" s="455" t="s">
        <v>0</v>
      </c>
      <c r="C6" s="499">
        <f>SUM(C3:C5)</f>
        <v>11</v>
      </c>
      <c r="D6" s="500">
        <f>SUM(D3:D5)/3</f>
        <v>0.76480000000000004</v>
      </c>
      <c r="E6" s="300">
        <f>SUM(E3:E5)</f>
        <v>210263602</v>
      </c>
      <c r="F6" s="592">
        <f>SUM(F3:F5)</f>
        <v>190920400</v>
      </c>
      <c r="G6" s="301">
        <f>F6/E6</f>
        <v>0.90800499080197439</v>
      </c>
    </row>
    <row r="7" spans="1:7" ht="18" hidden="1" customHeight="1" x14ac:dyDescent="0.25">
      <c r="B7" s="87"/>
      <c r="C7" s="110"/>
      <c r="D7" s="120">
        <v>1</v>
      </c>
      <c r="E7" s="116"/>
      <c r="F7" s="116"/>
      <c r="G7" s="117">
        <v>1</v>
      </c>
    </row>
    <row r="8" spans="1:7" ht="18" hidden="1" customHeight="1" x14ac:dyDescent="0.25">
      <c r="B8" s="15"/>
      <c r="C8" s="15"/>
      <c r="D8" s="120">
        <v>0</v>
      </c>
      <c r="E8" s="16"/>
      <c r="F8" s="16"/>
      <c r="G8" s="117">
        <v>0</v>
      </c>
    </row>
    <row r="9" spans="1:7" s="2" customFormat="1" ht="18" customHeight="1" thickBot="1" x14ac:dyDescent="0.3">
      <c r="A9" s="1"/>
      <c r="E9" s="3"/>
      <c r="F9" s="3"/>
    </row>
    <row r="10" spans="1:7" s="2" customFormat="1" ht="18" customHeight="1" thickBot="1" x14ac:dyDescent="0.3">
      <c r="A10" s="1"/>
      <c r="E10" s="745" t="s">
        <v>16</v>
      </c>
      <c r="F10" s="746"/>
      <c r="G10" s="747"/>
    </row>
    <row r="11" spans="1:7" s="2" customFormat="1" ht="15.75" thickBot="1" x14ac:dyDescent="0.3">
      <c r="A11" s="1"/>
      <c r="E11" s="132" t="s">
        <v>13</v>
      </c>
      <c r="F11" s="133" t="s">
        <v>14</v>
      </c>
      <c r="G11" s="134" t="s">
        <v>15</v>
      </c>
    </row>
    <row r="12" spans="1:7" s="2" customFormat="1" x14ac:dyDescent="0.25">
      <c r="A12" s="1"/>
      <c r="E12" s="151" t="s">
        <v>326</v>
      </c>
      <c r="F12" s="152">
        <v>5</v>
      </c>
      <c r="G12" s="23">
        <f>F12/F15</f>
        <v>0.45454545454545453</v>
      </c>
    </row>
    <row r="13" spans="1:7" s="2" customFormat="1" x14ac:dyDescent="0.25">
      <c r="A13" s="1"/>
      <c r="E13" s="153" t="s">
        <v>325</v>
      </c>
      <c r="F13" s="154">
        <v>4</v>
      </c>
      <c r="G13" s="23">
        <f>F13/F15</f>
        <v>0.36363636363636365</v>
      </c>
    </row>
    <row r="14" spans="1:7" s="2" customFormat="1" ht="15.75" thickBot="1" x14ac:dyDescent="0.3">
      <c r="A14" s="1"/>
      <c r="E14" s="155" t="s">
        <v>321</v>
      </c>
      <c r="F14" s="156">
        <v>2</v>
      </c>
      <c r="G14" s="23">
        <f>F14/F15</f>
        <v>0.18181818181818182</v>
      </c>
    </row>
    <row r="15" spans="1:7" s="2" customFormat="1" ht="15.75" thickBot="1" x14ac:dyDescent="0.3">
      <c r="A15" s="1"/>
      <c r="E15" s="157" t="s">
        <v>17</v>
      </c>
      <c r="F15" s="158">
        <v>11</v>
      </c>
      <c r="G15" s="50"/>
    </row>
    <row r="16" spans="1:7" s="3" customFormat="1" ht="15.75" thickBot="1" x14ac:dyDescent="0.3">
      <c r="A16" s="1"/>
      <c r="E16" s="192"/>
      <c r="F16" s="193"/>
      <c r="G16" s="33"/>
    </row>
    <row r="17" spans="1:7" s="3" customFormat="1" ht="15.75" thickBot="1" x14ac:dyDescent="0.3">
      <c r="A17" s="1"/>
      <c r="E17" s="763" t="s">
        <v>28</v>
      </c>
      <c r="F17" s="764"/>
      <c r="G17" s="765"/>
    </row>
    <row r="18" spans="1:7" s="3" customFormat="1" ht="15.75" thickBot="1" x14ac:dyDescent="0.3">
      <c r="A18" s="1"/>
      <c r="E18" s="132" t="s">
        <v>3</v>
      </c>
      <c r="F18" s="133" t="s">
        <v>4</v>
      </c>
      <c r="G18" s="30" t="s">
        <v>214</v>
      </c>
    </row>
    <row r="19" spans="1:7" s="3" customFormat="1" ht="15.75" thickBot="1" x14ac:dyDescent="0.3">
      <c r="A19" s="1"/>
      <c r="E19" s="199">
        <f>E6</f>
        <v>210263602</v>
      </c>
      <c r="F19" s="200">
        <f>F6</f>
        <v>190920400</v>
      </c>
      <c r="G19" s="29">
        <f>F19/E19</f>
        <v>0.90800499080197439</v>
      </c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35" ht="20.25" customHeight="1" x14ac:dyDescent="0.25"/>
  </sheetData>
  <mergeCells count="3">
    <mergeCell ref="E10:G10"/>
    <mergeCell ref="E17:G17"/>
    <mergeCell ref="B1:G1"/>
  </mergeCells>
  <conditionalFormatting sqref="D6:D8"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2">
      <colorScale>
        <cfvo type="formula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60"/>
  <sheetViews>
    <sheetView view="pageBreakPreview" zoomScaleNormal="70" zoomScaleSheetLayoutView="100" workbookViewId="0">
      <selection activeCell="F34" sqref="F34"/>
    </sheetView>
  </sheetViews>
  <sheetFormatPr baseColWidth="10" defaultColWidth="11.42578125" defaultRowHeight="15" x14ac:dyDescent="0.25"/>
  <cols>
    <col min="1" max="1" width="3.42578125" style="1" customWidth="1"/>
    <col min="2" max="2" width="67" style="1" customWidth="1"/>
    <col min="3" max="3" width="20.7109375" style="1" customWidth="1"/>
    <col min="4" max="4" width="22.42578125" style="1" customWidth="1"/>
    <col min="5" max="5" width="29" style="64" customWidth="1"/>
    <col min="6" max="6" width="30" style="64" customWidth="1"/>
    <col min="7" max="7" width="25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75" customHeight="1" thickBot="1" x14ac:dyDescent="0.3">
      <c r="B1" s="726" t="s">
        <v>297</v>
      </c>
      <c r="C1" s="727"/>
      <c r="D1" s="727"/>
      <c r="E1" s="727"/>
      <c r="F1" s="727"/>
      <c r="G1" s="728"/>
    </row>
    <row r="2" spans="1:7" s="2" customFormat="1" ht="113.25" customHeight="1" thickBot="1" x14ac:dyDescent="0.3">
      <c r="B2" s="135" t="s">
        <v>1</v>
      </c>
      <c r="C2" s="136" t="s">
        <v>55</v>
      </c>
      <c r="D2" s="136" t="s">
        <v>63</v>
      </c>
      <c r="E2" s="137" t="s">
        <v>57</v>
      </c>
      <c r="F2" s="138" t="s">
        <v>58</v>
      </c>
      <c r="G2" s="139" t="s">
        <v>56</v>
      </c>
    </row>
    <row r="3" spans="1:7" s="2" customFormat="1" ht="21" customHeight="1" x14ac:dyDescent="0.25">
      <c r="A3" s="5">
        <v>1</v>
      </c>
      <c r="B3" s="281" t="s">
        <v>5</v>
      </c>
      <c r="C3" s="282">
        <f>'1.DESPACHO'!C9</f>
        <v>29</v>
      </c>
      <c r="D3" s="283">
        <f>'1.DESPACHO'!D9</f>
        <v>0.87780000000000002</v>
      </c>
      <c r="E3" s="341">
        <f>'1.DESPACHO'!E9</f>
        <v>2317073937</v>
      </c>
      <c r="F3" s="341">
        <f>'1.DESPACHO'!F9</f>
        <v>1728162948</v>
      </c>
      <c r="G3" s="284">
        <f>'1.DESPACHO'!G9</f>
        <v>0.74583849932623014</v>
      </c>
    </row>
    <row r="4" spans="1:7" s="2" customFormat="1" ht="21" customHeight="1" x14ac:dyDescent="0.25">
      <c r="A4" s="5">
        <v>2</v>
      </c>
      <c r="B4" s="285" t="s">
        <v>44</v>
      </c>
      <c r="C4" s="286">
        <f>'2.1 GOBIERNO Y CONVIVENCIA'!C18</f>
        <v>48</v>
      </c>
      <c r="D4" s="287">
        <f>'2.1 GOBIERNO Y CONVIVENCIA'!D18</f>
        <v>0.80230769230769239</v>
      </c>
      <c r="E4" s="342">
        <f>'2.1 GOBIERNO Y CONVIVENCIA'!E18</f>
        <v>17940726885</v>
      </c>
      <c r="F4" s="342">
        <f>'2.1 GOBIERNO Y CONVIVENCIA'!F18</f>
        <v>6528752569.6699991</v>
      </c>
      <c r="G4" s="288">
        <f>'2.1 GOBIERNO Y CONVIVENCIA'!G18</f>
        <v>0.36390680330397324</v>
      </c>
    </row>
    <row r="5" spans="1:7" s="2" customFormat="1" ht="21" customHeight="1" x14ac:dyDescent="0.25">
      <c r="A5" s="5">
        <v>3</v>
      </c>
      <c r="B5" s="285" t="s">
        <v>43</v>
      </c>
      <c r="C5" s="286">
        <f>'2.2 DESARROLLO SOCIAL'!C21</f>
        <v>273</v>
      </c>
      <c r="D5" s="287">
        <f>'2.2 DESARROLLO SOCIAL'!D21</f>
        <v>0.58529411764705874</v>
      </c>
      <c r="E5" s="342">
        <f>'2.2 DESARROLLO SOCIAL'!E21</f>
        <v>12414296357.459999</v>
      </c>
      <c r="F5" s="342">
        <f>'2.2 DESARROLLO SOCIAL'!F21</f>
        <v>4418035893.6599998</v>
      </c>
      <c r="G5" s="288">
        <f>'2.2 DESARROLLO SOCIAL'!G21</f>
        <v>0.35588290841833448</v>
      </c>
    </row>
    <row r="6" spans="1:7" s="2" customFormat="1" ht="21" customHeight="1" x14ac:dyDescent="0.25">
      <c r="A6" s="5">
        <v>4</v>
      </c>
      <c r="B6" s="285" t="s">
        <v>42</v>
      </c>
      <c r="C6" s="286">
        <f>'2.3 SALUD'!C26</f>
        <v>107</v>
      </c>
      <c r="D6" s="287">
        <f>'2.3 SALUD'!D26</f>
        <v>0.69454545454545469</v>
      </c>
      <c r="E6" s="342">
        <f>'2.3 SALUD'!E26</f>
        <v>153737242933</v>
      </c>
      <c r="F6" s="342">
        <f>'2.3 SALUD'!F26</f>
        <v>103251517290.46001</v>
      </c>
      <c r="G6" s="288">
        <f>'2.3 SALUD'!G26</f>
        <v>0.67161030938650235</v>
      </c>
    </row>
    <row r="7" spans="1:7" s="2" customFormat="1" ht="21" customHeight="1" x14ac:dyDescent="0.25">
      <c r="A7" s="5">
        <v>5</v>
      </c>
      <c r="B7" s="285" t="s">
        <v>45</v>
      </c>
      <c r="C7" s="286">
        <f>'2.4 DESARROLLO ECONOMICO'!C7</f>
        <v>41</v>
      </c>
      <c r="D7" s="287">
        <f>'2.4 DESARROLLO ECONOMICO'!D7</f>
        <v>0.78612499999999996</v>
      </c>
      <c r="E7" s="342">
        <f>'2.4 DESARROLLO ECONOMICO'!E7</f>
        <v>4330769960</v>
      </c>
      <c r="F7" s="342">
        <f>'2.4 DESARROLLO ECONOMICO'!F7</f>
        <v>2719153910.7200003</v>
      </c>
      <c r="G7" s="288">
        <f>'2.4 DESARROLLO ECONOMICO'!G7</f>
        <v>0.62786847046477623</v>
      </c>
    </row>
    <row r="8" spans="1:7" s="2" customFormat="1" ht="21" customHeight="1" x14ac:dyDescent="0.25">
      <c r="A8" s="5">
        <v>6</v>
      </c>
      <c r="B8" s="285" t="s">
        <v>46</v>
      </c>
      <c r="C8" s="286">
        <f>'2.5 EDUCACION'!C41</f>
        <v>41</v>
      </c>
      <c r="D8" s="287">
        <f>'2.5 EDUCACION'!D41</f>
        <v>0.82488928238583381</v>
      </c>
      <c r="E8" s="342">
        <f>'2.5 EDUCACION'!E41</f>
        <v>150983618863.19</v>
      </c>
      <c r="F8" s="342">
        <f>'2.5 EDUCACION'!F41</f>
        <v>109422855224.19</v>
      </c>
      <c r="G8" s="288">
        <f>'2.5 EDUCACION'!G41</f>
        <v>0.724733292578851</v>
      </c>
    </row>
    <row r="9" spans="1:7" s="2" customFormat="1" ht="21" customHeight="1" x14ac:dyDescent="0.25">
      <c r="A9" s="5">
        <v>7</v>
      </c>
      <c r="B9" s="285" t="s">
        <v>41</v>
      </c>
      <c r="C9" s="286">
        <f>'2.6 INFRAESTRUCTURA'!C21</f>
        <v>85</v>
      </c>
      <c r="D9" s="289">
        <f>'2.6 INFRAESTRUCTURA'!D21</f>
        <v>0.27009444444444441</v>
      </c>
      <c r="E9" s="342">
        <f>'2.6 INFRAESTRUCTURA'!E21</f>
        <v>68831678228</v>
      </c>
      <c r="F9" s="342">
        <f>'2.6 INFRAESTRUCTURA'!F21</f>
        <v>25061761322.760002</v>
      </c>
      <c r="G9" s="290">
        <f>'2.6 INFRAESTRUCTURA'!G21</f>
        <v>0.36410213971167049</v>
      </c>
    </row>
    <row r="10" spans="1:7" s="2" customFormat="1" ht="21" customHeight="1" x14ac:dyDescent="0.25">
      <c r="A10" s="5">
        <v>8</v>
      </c>
      <c r="B10" s="285" t="s">
        <v>40</v>
      </c>
      <c r="C10" s="286">
        <f>'2.7 TRANSITO'!C7</f>
        <v>14</v>
      </c>
      <c r="D10" s="287">
        <f>'2.7 TRANSITO'!D7</f>
        <v>0.65345000000000009</v>
      </c>
      <c r="E10" s="342">
        <f>'2.7 TRANSITO'!E7</f>
        <v>9030673153</v>
      </c>
      <c r="F10" s="342">
        <f>'2.7 TRANSITO'!F7</f>
        <v>5358949059</v>
      </c>
      <c r="G10" s="288">
        <f>'2.7 TRANSITO'!G7</f>
        <v>0.59341634540496579</v>
      </c>
    </row>
    <row r="11" spans="1:7" ht="21" customHeight="1" x14ac:dyDescent="0.25">
      <c r="A11" s="5">
        <v>9</v>
      </c>
      <c r="B11" s="291" t="s">
        <v>39</v>
      </c>
      <c r="C11" s="286">
        <f>'2.8 TICS'!C8</f>
        <v>12</v>
      </c>
      <c r="D11" s="287">
        <f>'2.8 TICS'!D8</f>
        <v>0.57889999999999997</v>
      </c>
      <c r="E11" s="342">
        <f>'2.7 TRANSITO'!E7</f>
        <v>9030673153</v>
      </c>
      <c r="F11" s="342">
        <f>'2.8 TICS'!F8</f>
        <v>1061850788.8199999</v>
      </c>
      <c r="G11" s="288">
        <f>'2.8 TICS'!G8</f>
        <v>0.37824770396226864</v>
      </c>
    </row>
    <row r="12" spans="1:7" ht="21" customHeight="1" x14ac:dyDescent="0.25">
      <c r="A12" s="5">
        <v>10</v>
      </c>
      <c r="B12" s="291" t="s">
        <v>38</v>
      </c>
      <c r="C12" s="286">
        <f>'3.1 FORTALECIMIENTO INSTITUCION'!C6</f>
        <v>11</v>
      </c>
      <c r="D12" s="287">
        <f>'3.1 FORTALECIMIENTO INSTITUCION'!D6</f>
        <v>0.54844999999999999</v>
      </c>
      <c r="E12" s="342">
        <f>'3.1 FORTALECIMIENTO INSTITUCION'!E6</f>
        <v>1494980000</v>
      </c>
      <c r="F12" s="342">
        <f>'3.1 FORTALECIMIENTO INSTITUCION'!F6</f>
        <v>931292921</v>
      </c>
      <c r="G12" s="288">
        <f>'3.1 FORTALECIMIENTO INSTITUCION'!G6</f>
        <v>0.62294674243133685</v>
      </c>
    </row>
    <row r="13" spans="1:7" ht="21" customHeight="1" x14ac:dyDescent="0.25">
      <c r="A13" s="5">
        <v>11</v>
      </c>
      <c r="B13" s="291" t="s">
        <v>37</v>
      </c>
      <c r="C13" s="286">
        <f>'3.2 JURIDICA'!C5</f>
        <v>3</v>
      </c>
      <c r="D13" s="287">
        <f>'3.2 JURIDICA'!D5</f>
        <v>1</v>
      </c>
      <c r="E13" s="342">
        <f>'3.2 JURIDICA'!E5</f>
        <v>1334800000</v>
      </c>
      <c r="F13" s="342">
        <f>'3.2 JURIDICA'!F5</f>
        <v>1071119778.67</v>
      </c>
      <c r="G13" s="288">
        <f>'3.2 JURIDICA'!G5</f>
        <v>0.80245713115822592</v>
      </c>
    </row>
    <row r="14" spans="1:7" ht="21" customHeight="1" x14ac:dyDescent="0.25">
      <c r="A14" s="5">
        <v>12</v>
      </c>
      <c r="B14" s="291" t="s">
        <v>36</v>
      </c>
      <c r="C14" s="286">
        <f>'2.9 HACIENDA'!C6</f>
        <v>24</v>
      </c>
      <c r="D14" s="287">
        <f>'2.9 HACIENDA'!D6</f>
        <v>0.71666666666666667</v>
      </c>
      <c r="E14" s="342">
        <f>'2.9 HACIENDA'!E6</f>
        <v>10341104542</v>
      </c>
      <c r="F14" s="342">
        <f>'2.9 HACIENDA'!F6</f>
        <v>8887678996.5499992</v>
      </c>
      <c r="G14" s="288">
        <f>'2.9 HACIENDA'!G6</f>
        <v>0.85945161471417597</v>
      </c>
    </row>
    <row r="15" spans="1:7" ht="21" customHeight="1" x14ac:dyDescent="0.25">
      <c r="A15" s="5">
        <v>13</v>
      </c>
      <c r="B15" s="291" t="s">
        <v>35</v>
      </c>
      <c r="C15" s="286">
        <f>'3.4 BIENES Y SUMINISTROS'!C7</f>
        <v>15</v>
      </c>
      <c r="D15" s="287">
        <f>'3.4 BIENES Y SUMINISTROS'!D7</f>
        <v>0.87000000000000011</v>
      </c>
      <c r="E15" s="342">
        <f>'3.4 BIENES Y SUMINISTROS'!E7</f>
        <v>821749999</v>
      </c>
      <c r="F15" s="342">
        <f>'3.4 BIENES Y SUMINISTROS'!F7</f>
        <v>765985527</v>
      </c>
      <c r="G15" s="288">
        <f>'3.4 BIENES Y SUMINISTROS'!G7</f>
        <v>0.93213937077230224</v>
      </c>
    </row>
    <row r="16" spans="1:7" ht="21" customHeight="1" x14ac:dyDescent="0.25">
      <c r="A16" s="5">
        <v>14</v>
      </c>
      <c r="B16" s="291" t="s">
        <v>47</v>
      </c>
      <c r="C16" s="286">
        <f>'3.5 PLANEACION'!C23</f>
        <v>125</v>
      </c>
      <c r="D16" s="287">
        <f>'3.5 PLANEACION'!D23</f>
        <v>0.71457999999999999</v>
      </c>
      <c r="E16" s="342">
        <f>'3.5 PLANEACION'!E23</f>
        <v>12169897627</v>
      </c>
      <c r="F16" s="342">
        <f>'3.5 PLANEACION'!F23</f>
        <v>7688245719.8199997</v>
      </c>
      <c r="G16" s="288">
        <f>'3.5 PLANEACION'!G23</f>
        <v>0.63174284250041213</v>
      </c>
    </row>
    <row r="17" spans="1:8" ht="21" customHeight="1" x14ac:dyDescent="0.25">
      <c r="A17" s="5">
        <v>15</v>
      </c>
      <c r="B17" s="291" t="s">
        <v>34</v>
      </c>
      <c r="C17" s="286">
        <f>'3.6 CONTROL INTERNO'!C6</f>
        <v>7</v>
      </c>
      <c r="D17" s="287">
        <f>'3.6 CONTROL INTERNO'!D6</f>
        <v>0.8555666666666667</v>
      </c>
      <c r="E17" s="342">
        <f>'3.6 CONTROL INTERNO'!E6</f>
        <v>580000000</v>
      </c>
      <c r="F17" s="342">
        <f>'3.6 CONTROL INTERNO'!F6</f>
        <v>515000000</v>
      </c>
      <c r="G17" s="288">
        <f>'3.6 CONTROL INTERNO'!G6</f>
        <v>0.88793103448275867</v>
      </c>
    </row>
    <row r="18" spans="1:8" ht="21" customHeight="1" thickBot="1" x14ac:dyDescent="0.3">
      <c r="A18" s="5">
        <v>16</v>
      </c>
      <c r="B18" s="291" t="s">
        <v>33</v>
      </c>
      <c r="C18" s="286">
        <f>'3.7. DACID'!C4</f>
        <v>7</v>
      </c>
      <c r="D18" s="287">
        <f>'3.7. DACID'!D4</f>
        <v>0.76</v>
      </c>
      <c r="E18" s="342">
        <f>'3.7. DACID'!E4</f>
        <v>569495000</v>
      </c>
      <c r="F18" s="342">
        <f>'3.7. DACID'!F4</f>
        <v>439954390</v>
      </c>
      <c r="G18" s="288">
        <f>'3.7. DACID'!G4</f>
        <v>0.77253424525237269</v>
      </c>
    </row>
    <row r="19" spans="1:8" ht="21" customHeight="1" thickBot="1" x14ac:dyDescent="0.3">
      <c r="B19" s="297" t="s">
        <v>0</v>
      </c>
      <c r="C19" s="298">
        <f>SUM(C3:C18)</f>
        <v>842</v>
      </c>
      <c r="D19" s="299">
        <f>SUM(D3:D18)/23</f>
        <v>0.50168127498538329</v>
      </c>
      <c r="E19" s="343">
        <f>SUM(E3:E18)</f>
        <v>455928780637.65002</v>
      </c>
      <c r="F19" s="343">
        <f>SUM(F3:F18)</f>
        <v>279850316340.32001</v>
      </c>
      <c r="G19" s="301">
        <f>F19/E19</f>
        <v>0.613802699511377</v>
      </c>
      <c r="H19" s="12"/>
    </row>
    <row r="20" spans="1:8" ht="21" hidden="1" customHeight="1" x14ac:dyDescent="0.3">
      <c r="B20" s="82"/>
      <c r="C20" s="83"/>
      <c r="D20" s="84">
        <v>1</v>
      </c>
      <c r="E20" s="85"/>
      <c r="F20" s="85"/>
      <c r="G20" s="86">
        <v>1</v>
      </c>
      <c r="H20" s="12"/>
    </row>
    <row r="21" spans="1:8" ht="21" hidden="1" customHeight="1" x14ac:dyDescent="0.3">
      <c r="B21" s="82"/>
      <c r="C21" s="83"/>
      <c r="D21" s="84">
        <v>0</v>
      </c>
      <c r="E21" s="85"/>
      <c r="F21" s="85"/>
      <c r="G21" s="86">
        <v>0</v>
      </c>
      <c r="H21" s="12"/>
    </row>
    <row r="22" spans="1:8" ht="18.75" x14ac:dyDescent="0.3">
      <c r="B22" s="279"/>
      <c r="C22" s="279"/>
      <c r="D22" s="279"/>
      <c r="E22" s="307"/>
      <c r="F22" s="307"/>
      <c r="G22" s="308"/>
    </row>
    <row r="23" spans="1:8" ht="19.5" thickBot="1" x14ac:dyDescent="0.35">
      <c r="B23" s="279"/>
      <c r="C23" s="279"/>
      <c r="D23" s="279"/>
      <c r="E23" s="309"/>
      <c r="F23" s="310"/>
      <c r="G23" s="279"/>
    </row>
    <row r="24" spans="1:8" ht="19.5" thickBot="1" x14ac:dyDescent="0.35">
      <c r="B24" s="279"/>
      <c r="C24" s="279"/>
      <c r="D24" s="279"/>
      <c r="E24" s="719" t="s">
        <v>192</v>
      </c>
      <c r="F24" s="720"/>
      <c r="G24" s="721"/>
    </row>
    <row r="25" spans="1:8" ht="19.5" thickBot="1" x14ac:dyDescent="0.35">
      <c r="B25" s="279"/>
      <c r="C25" s="279"/>
      <c r="D25" s="279"/>
      <c r="E25" s="311" t="s">
        <v>13</v>
      </c>
      <c r="F25" s="312" t="s">
        <v>14</v>
      </c>
      <c r="G25" s="313" t="s">
        <v>15</v>
      </c>
    </row>
    <row r="26" spans="1:8" ht="18.75" x14ac:dyDescent="0.3">
      <c r="B26" s="279"/>
      <c r="C26" s="279"/>
      <c r="D26" s="279"/>
      <c r="E26" s="314" t="s">
        <v>326</v>
      </c>
      <c r="F26" s="315">
        <v>5</v>
      </c>
      <c r="G26" s="316">
        <f>F26/F29</f>
        <v>0.3125</v>
      </c>
    </row>
    <row r="27" spans="1:8" ht="18.75" x14ac:dyDescent="0.3">
      <c r="B27" s="279"/>
      <c r="C27" s="279"/>
      <c r="D27" s="279"/>
      <c r="E27" s="317" t="s">
        <v>325</v>
      </c>
      <c r="F27" s="318">
        <v>8</v>
      </c>
      <c r="G27" s="316">
        <f>F27/F29</f>
        <v>0.5</v>
      </c>
    </row>
    <row r="28" spans="1:8" ht="19.5" thickBot="1" x14ac:dyDescent="0.35">
      <c r="B28" s="279"/>
      <c r="C28" s="279"/>
      <c r="D28" s="279"/>
      <c r="E28" s="319" t="s">
        <v>321</v>
      </c>
      <c r="F28" s="320">
        <v>3</v>
      </c>
      <c r="G28" s="316">
        <f>F28/F29</f>
        <v>0.1875</v>
      </c>
    </row>
    <row r="29" spans="1:8" ht="19.5" thickBot="1" x14ac:dyDescent="0.35">
      <c r="B29" s="279"/>
      <c r="C29" s="279"/>
      <c r="D29" s="279"/>
      <c r="E29" s="321" t="s">
        <v>27</v>
      </c>
      <c r="F29" s="322">
        <f>SUM(F26:F28)</f>
        <v>16</v>
      </c>
      <c r="G29" s="323"/>
    </row>
    <row r="30" spans="1:8" ht="18.75" x14ac:dyDescent="0.3">
      <c r="B30" s="279"/>
      <c r="C30" s="279"/>
      <c r="D30" s="279"/>
      <c r="E30" s="324"/>
      <c r="F30" s="324"/>
      <c r="G30" s="325"/>
    </row>
    <row r="31" spans="1:8" ht="19.5" thickBot="1" x14ac:dyDescent="0.35">
      <c r="B31" s="279"/>
      <c r="C31" s="279"/>
      <c r="D31" s="279"/>
      <c r="E31" s="326"/>
      <c r="F31" s="326"/>
      <c r="G31" s="325"/>
    </row>
    <row r="32" spans="1:8" ht="19.5" thickBot="1" x14ac:dyDescent="0.35">
      <c r="B32" s="279"/>
      <c r="C32" s="279"/>
      <c r="D32" s="279"/>
      <c r="E32" s="725" t="s">
        <v>182</v>
      </c>
      <c r="F32" s="720"/>
      <c r="G32" s="721"/>
    </row>
    <row r="33" spans="2:7" ht="19.5" thickBot="1" x14ac:dyDescent="0.35">
      <c r="B33" s="279"/>
      <c r="C33" s="279"/>
      <c r="D33" s="279"/>
      <c r="E33" s="311" t="s">
        <v>13</v>
      </c>
      <c r="F33" s="312" t="s">
        <v>14</v>
      </c>
      <c r="G33" s="313" t="s">
        <v>273</v>
      </c>
    </row>
    <row r="34" spans="2:7" ht="18.75" x14ac:dyDescent="0.3">
      <c r="B34" s="279"/>
      <c r="C34" s="279"/>
      <c r="D34" s="279"/>
      <c r="E34" s="314" t="s">
        <v>326</v>
      </c>
      <c r="F34" s="315">
        <f>SUM('1.DESPACHO'!F15+'2.1 GOBIERNO Y CONVIVENCIA'!F23+'2.2 DESARROLLO SOCIAL'!F27+'2.3 SALUD'!F32+'2.4 DESARROLLO ECONOMICO'!F13+'2.5 EDUCACION'!F47+'2.6 INFRAESTRUCTURA'!F27+'2.7 TRANSITO'!F13+'2.8 TICS'!F14+'3.1 FORTALECIMIENTO INSTITUCION'!F12+'3.2 JURIDICA'!F11+'2.9 HACIENDA'!F12+'3.4 BIENES Y SUMINISTROS'!F13+'3.5 PLANEACION'!F31+'3.6 CONTROL INTERNO'!F13+'3.7. DACID'!F10)</f>
        <v>358</v>
      </c>
      <c r="G34" s="316">
        <f>F34/F37</f>
        <v>0.42517814726840852</v>
      </c>
    </row>
    <row r="35" spans="2:7" ht="18.75" x14ac:dyDescent="0.3">
      <c r="B35" s="279"/>
      <c r="C35" s="279"/>
      <c r="D35" s="279"/>
      <c r="E35" s="317" t="s">
        <v>325</v>
      </c>
      <c r="F35" s="318">
        <f>SUM('1.DESPACHO'!F16+'2.1 GOBIERNO Y CONVIVENCIA'!F24+'2.2 DESARROLLO SOCIAL'!F28+'2.3 SALUD'!F33+'2.4 DESARROLLO ECONOMICO'!F14+'2.5 EDUCACION'!F48+'2.6 INFRAESTRUCTURA'!F28+'2.7 TRANSITO'!F14+'2.8 TICS'!F15+'3.1 FORTALECIMIENTO INSTITUCION'!F13+'3.2 JURIDICA'!F12+'2.9 HACIENDA'!F13+'3.4 BIENES Y SUMINISTROS'!F14+'3.5 PLANEACION'!F32+'3.6 CONTROL INTERNO'!F14+'3.7. DACID'!F11)</f>
        <v>180</v>
      </c>
      <c r="G35" s="316">
        <f>F35/F37</f>
        <v>0.21377672209026127</v>
      </c>
    </row>
    <row r="36" spans="2:7" ht="19.5" thickBot="1" x14ac:dyDescent="0.35">
      <c r="B36" s="279"/>
      <c r="C36" s="279"/>
      <c r="D36" s="279"/>
      <c r="E36" s="327" t="s">
        <v>321</v>
      </c>
      <c r="F36" s="320">
        <f>SUM('1.DESPACHO'!F17+'2.1 GOBIERNO Y CONVIVENCIA'!F25+'2.2 DESARROLLO SOCIAL'!F29+'2.3 SALUD'!F34+'2.4 DESARROLLO ECONOMICO'!F15+'2.5 EDUCACION'!F49+'2.6 INFRAESTRUCTURA'!F29+'2.7 TRANSITO'!F15+'2.8 TICS'!F16+'3.1 FORTALECIMIENTO INSTITUCION'!F14+'3.2 JURIDICA'!F13+'2.9 HACIENDA'!F14+'3.4 BIENES Y SUMINISTROS'!F15+'3.5 PLANEACION'!F33+'3.6 CONTROL INTERNO'!F15+'3.7. DACID'!F12)</f>
        <v>304</v>
      </c>
      <c r="G36" s="316">
        <f>F36/F37</f>
        <v>0.36104513064133015</v>
      </c>
    </row>
    <row r="37" spans="2:7" ht="19.5" thickBot="1" x14ac:dyDescent="0.35">
      <c r="B37" s="279"/>
      <c r="C37" s="279"/>
      <c r="D37" s="279"/>
      <c r="E37" s="321" t="s">
        <v>183</v>
      </c>
      <c r="F37" s="322">
        <f>SUM(F34:F36)</f>
        <v>842</v>
      </c>
      <c r="G37" s="344"/>
    </row>
    <row r="38" spans="2:7" ht="18.75" x14ac:dyDescent="0.3">
      <c r="B38" s="279"/>
      <c r="C38" s="279"/>
      <c r="D38" s="279"/>
      <c r="E38" s="326"/>
      <c r="F38" s="326"/>
      <c r="G38" s="325"/>
    </row>
    <row r="39" spans="2:7" ht="19.5" thickBot="1" x14ac:dyDescent="0.35">
      <c r="B39" s="279"/>
      <c r="C39" s="328"/>
      <c r="D39" s="279"/>
      <c r="E39" s="326"/>
      <c r="F39" s="326"/>
      <c r="G39" s="325"/>
    </row>
    <row r="40" spans="2:7" ht="19.5" thickBot="1" x14ac:dyDescent="0.35">
      <c r="B40" s="279"/>
      <c r="C40" s="279"/>
      <c r="D40" s="279"/>
      <c r="E40" s="722" t="s">
        <v>31</v>
      </c>
      <c r="F40" s="723"/>
      <c r="G40" s="724"/>
    </row>
    <row r="41" spans="2:7" ht="19.5" thickBot="1" x14ac:dyDescent="0.35">
      <c r="B41" s="279"/>
      <c r="C41" s="279"/>
      <c r="D41" s="279"/>
      <c r="E41" s="276" t="s">
        <v>3</v>
      </c>
      <c r="F41" s="277" t="s">
        <v>4</v>
      </c>
      <c r="G41" s="278" t="s">
        <v>213</v>
      </c>
    </row>
    <row r="42" spans="2:7" ht="19.5" thickBot="1" x14ac:dyDescent="0.35">
      <c r="B42" s="279"/>
      <c r="C42" s="279"/>
      <c r="D42" s="279"/>
      <c r="E42" s="332">
        <f>E19</f>
        <v>455928780637.65002</v>
      </c>
      <c r="F42" s="333">
        <f>F19</f>
        <v>279850316340.32001</v>
      </c>
      <c r="G42" s="334">
        <f>F42/E42</f>
        <v>0.613802699511377</v>
      </c>
    </row>
    <row r="43" spans="2:7" ht="18.75" x14ac:dyDescent="0.3">
      <c r="B43" s="279"/>
      <c r="C43" s="279"/>
      <c r="D43" s="279"/>
      <c r="E43" s="307"/>
      <c r="F43" s="307"/>
      <c r="G43" s="279"/>
    </row>
    <row r="44" spans="2:7" ht="18.75" x14ac:dyDescent="0.3">
      <c r="B44" s="279"/>
      <c r="C44" s="279"/>
      <c r="D44" s="279"/>
      <c r="E44" s="307"/>
      <c r="F44" s="307"/>
      <c r="G44" s="279"/>
    </row>
    <row r="45" spans="2:7" ht="18.75" x14ac:dyDescent="0.3">
      <c r="B45" s="279"/>
      <c r="C45" s="279"/>
      <c r="D45" s="279"/>
      <c r="E45" s="307"/>
      <c r="F45" s="307"/>
      <c r="G45" s="279"/>
    </row>
    <row r="46" spans="2:7" ht="18.75" x14ac:dyDescent="0.3">
      <c r="B46" s="279"/>
      <c r="C46" s="279"/>
      <c r="D46" s="279"/>
      <c r="E46" s="307"/>
      <c r="F46" s="307"/>
      <c r="G46" s="279"/>
    </row>
    <row r="47" spans="2:7" ht="18.75" x14ac:dyDescent="0.3">
      <c r="B47" s="279"/>
      <c r="C47" s="279"/>
      <c r="D47" s="279"/>
      <c r="E47" s="307"/>
      <c r="F47" s="307"/>
      <c r="G47" s="279"/>
    </row>
    <row r="48" spans="2:7" ht="18.75" x14ac:dyDescent="0.3">
      <c r="B48" s="279"/>
      <c r="C48" s="279"/>
      <c r="D48" s="279"/>
      <c r="E48" s="307"/>
      <c r="F48" s="307"/>
      <c r="G48" s="279"/>
    </row>
    <row r="49" spans="2:7" ht="18.75" x14ac:dyDescent="0.3">
      <c r="B49" s="279"/>
      <c r="C49" s="279"/>
      <c r="D49" s="279"/>
      <c r="E49" s="307"/>
      <c r="F49" s="307"/>
      <c r="G49" s="279"/>
    </row>
    <row r="50" spans="2:7" ht="18.75" x14ac:dyDescent="0.3">
      <c r="B50" s="279"/>
      <c r="C50" s="279"/>
      <c r="D50" s="279"/>
      <c r="E50" s="307"/>
      <c r="F50" s="307"/>
      <c r="G50" s="279"/>
    </row>
    <row r="51" spans="2:7" ht="18.75" x14ac:dyDescent="0.3">
      <c r="B51" s="279"/>
      <c r="C51" s="279"/>
      <c r="D51" s="279"/>
      <c r="E51" s="307"/>
      <c r="F51" s="307"/>
      <c r="G51" s="279"/>
    </row>
    <row r="52" spans="2:7" ht="18.75" x14ac:dyDescent="0.3">
      <c r="B52" s="279"/>
      <c r="C52" s="279"/>
      <c r="D52" s="279"/>
      <c r="E52" s="307"/>
      <c r="F52" s="307"/>
      <c r="G52" s="279"/>
    </row>
    <row r="53" spans="2:7" ht="18.75" x14ac:dyDescent="0.3">
      <c r="B53" s="279"/>
      <c r="C53" s="279"/>
      <c r="D53" s="279"/>
      <c r="E53" s="307"/>
      <c r="F53" s="307"/>
      <c r="G53" s="279"/>
    </row>
    <row r="54" spans="2:7" ht="18.75" x14ac:dyDescent="0.3">
      <c r="B54" s="279"/>
      <c r="C54" s="279"/>
      <c r="D54" s="279"/>
      <c r="E54" s="307"/>
      <c r="F54" s="307"/>
      <c r="G54" s="279"/>
    </row>
    <row r="55" spans="2:7" ht="18.75" x14ac:dyDescent="0.3">
      <c r="B55" s="279"/>
      <c r="C55" s="279"/>
      <c r="D55" s="279"/>
      <c r="E55" s="307"/>
      <c r="F55" s="307"/>
      <c r="G55" s="279"/>
    </row>
    <row r="56" spans="2:7" ht="18.75" x14ac:dyDescent="0.3">
      <c r="B56" s="279"/>
      <c r="C56" s="279"/>
      <c r="D56" s="279"/>
      <c r="E56" s="307"/>
      <c r="F56" s="307"/>
      <c r="G56" s="279"/>
    </row>
    <row r="57" spans="2:7" ht="18.75" x14ac:dyDescent="0.3">
      <c r="B57" s="279"/>
      <c r="C57" s="279"/>
      <c r="D57" s="279"/>
      <c r="E57" s="307"/>
      <c r="F57" s="307"/>
      <c r="G57" s="279"/>
    </row>
    <row r="58" spans="2:7" ht="18.75" x14ac:dyDescent="0.3">
      <c r="B58" s="279"/>
      <c r="C58" s="279"/>
      <c r="D58" s="279"/>
      <c r="E58" s="307"/>
      <c r="F58" s="307"/>
      <c r="G58" s="279"/>
    </row>
    <row r="59" spans="2:7" ht="18.75" x14ac:dyDescent="0.3">
      <c r="B59" s="279"/>
      <c r="C59" s="279"/>
      <c r="D59" s="279"/>
      <c r="E59" s="307"/>
      <c r="F59" s="307"/>
      <c r="G59" s="279"/>
    </row>
    <row r="60" spans="2:7" ht="18.75" x14ac:dyDescent="0.3">
      <c r="B60" s="279"/>
      <c r="C60" s="279"/>
      <c r="D60" s="279"/>
      <c r="E60" s="307"/>
      <c r="F60" s="307"/>
      <c r="G60" s="279"/>
    </row>
  </sheetData>
  <autoFilter ref="A2:G21"/>
  <mergeCells count="4">
    <mergeCell ref="B1:G1"/>
    <mergeCell ref="E24:G24"/>
    <mergeCell ref="E32:G32"/>
    <mergeCell ref="E40:G40"/>
  </mergeCells>
  <conditionalFormatting sqref="D3:D5 D10:D11 D7:D8"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2 D7:D8"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2 G7:G8"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3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2">
    <cfRule type="colorScale" priority="23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9:G21 G3:G5 G7:G12">
    <cfRule type="colorScale" priority="229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23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3">
    <cfRule type="colorScale" priority="2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1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1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1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1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9:D21 D3:D5 D7:D14"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4">
    <cfRule type="colorScale" priority="2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1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5 D17"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5 G17">
    <cfRule type="colorScale" priority="1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2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1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1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78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1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27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2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1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1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5" scale="49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4"/>
  <sheetViews>
    <sheetView view="pageBreakPreview" zoomScaleNormal="57" zoomScaleSheetLayoutView="100" workbookViewId="0">
      <selection activeCell="D5" sqref="D5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6" width="20.5703125" style="3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742" t="s">
        <v>314</v>
      </c>
      <c r="C1" s="743"/>
      <c r="D1" s="743"/>
      <c r="E1" s="743"/>
      <c r="F1" s="743"/>
      <c r="G1" s="744"/>
    </row>
    <row r="2" spans="1:7" s="2" customFormat="1" ht="78" customHeight="1" x14ac:dyDescent="0.25"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2" customFormat="1" ht="39" customHeight="1" x14ac:dyDescent="0.25">
      <c r="A3" s="4">
        <v>1</v>
      </c>
      <c r="B3" s="421" t="s">
        <v>168</v>
      </c>
      <c r="C3" s="375">
        <v>1</v>
      </c>
      <c r="D3" s="376">
        <f>[15]SEG_PA_EDUA_3T_2021!S12</f>
        <v>1</v>
      </c>
      <c r="E3" s="449" t="s">
        <v>181</v>
      </c>
      <c r="F3" s="449" t="s">
        <v>181</v>
      </c>
      <c r="G3" s="449" t="s">
        <v>181</v>
      </c>
    </row>
    <row r="4" spans="1:7" s="2" customFormat="1" ht="34.5" customHeight="1" thickBot="1" x14ac:dyDescent="0.3">
      <c r="A4" s="4">
        <v>2</v>
      </c>
      <c r="B4" s="593" t="s">
        <v>52</v>
      </c>
      <c r="C4" s="375">
        <v>1</v>
      </c>
      <c r="D4" s="376">
        <f>[15]SEG_PA_EDUA_3T_2021!$S$14</f>
        <v>0.88600000000000001</v>
      </c>
      <c r="E4" s="594">
        <f>[15]SEG_PA_EDUA_3T_2021!V14</f>
        <v>56227563</v>
      </c>
      <c r="F4" s="594">
        <f>[15]SEG_PA_EDUA_3T_2021!W14</f>
        <v>42938438</v>
      </c>
      <c r="G4" s="364">
        <f>F4/E4</f>
        <v>0.76365461544189639</v>
      </c>
    </row>
    <row r="5" spans="1:7" ht="28.5" customHeight="1" thickBot="1" x14ac:dyDescent="0.3">
      <c r="B5" s="595" t="s">
        <v>0</v>
      </c>
      <c r="C5" s="596">
        <v>2</v>
      </c>
      <c r="D5" s="597">
        <f>SUM(D3:D4)/2</f>
        <v>0.94300000000000006</v>
      </c>
      <c r="E5" s="598">
        <f>SUM(E3:E4)</f>
        <v>56227563</v>
      </c>
      <c r="F5" s="598">
        <f>SUM(F3:F4)</f>
        <v>42938438</v>
      </c>
      <c r="G5" s="407">
        <f>F5/E5</f>
        <v>0.76365461544189639</v>
      </c>
    </row>
    <row r="6" spans="1:7" ht="15.75" hidden="1" customHeight="1" x14ac:dyDescent="0.25">
      <c r="B6" s="87"/>
      <c r="C6" s="110"/>
      <c r="D6" s="89">
        <v>1</v>
      </c>
      <c r="E6" s="118"/>
      <c r="F6" s="118"/>
      <c r="G6" s="117">
        <v>1</v>
      </c>
    </row>
    <row r="7" spans="1:7" s="2" customFormat="1" ht="15" hidden="1" customHeight="1" x14ac:dyDescent="0.25">
      <c r="A7" s="1"/>
      <c r="B7" s="15"/>
      <c r="C7" s="15"/>
      <c r="D7" s="89">
        <v>0</v>
      </c>
      <c r="E7" s="16"/>
      <c r="F7" s="16"/>
      <c r="G7" s="117">
        <v>0</v>
      </c>
    </row>
    <row r="8" spans="1:7" s="2" customFormat="1" ht="15.75" thickBot="1" x14ac:dyDescent="0.3">
      <c r="A8" s="1"/>
      <c r="E8" s="3"/>
      <c r="F8" s="3"/>
    </row>
    <row r="9" spans="1:7" s="2" customFormat="1" ht="15.75" thickBot="1" x14ac:dyDescent="0.3">
      <c r="A9" s="1"/>
      <c r="E9" s="745" t="s">
        <v>16</v>
      </c>
      <c r="F9" s="746"/>
      <c r="G9" s="747"/>
    </row>
    <row r="10" spans="1:7" s="2" customFormat="1" ht="15.75" thickBot="1" x14ac:dyDescent="0.3">
      <c r="A10" s="1"/>
      <c r="E10" s="132" t="s">
        <v>13</v>
      </c>
      <c r="F10" s="133" t="s">
        <v>14</v>
      </c>
      <c r="G10" s="134" t="s">
        <v>15</v>
      </c>
    </row>
    <row r="11" spans="1:7" s="2" customFormat="1" x14ac:dyDescent="0.25">
      <c r="A11" s="1"/>
      <c r="E11" s="151" t="s">
        <v>326</v>
      </c>
      <c r="F11" s="245">
        <v>2</v>
      </c>
      <c r="G11" s="23">
        <f>F11/F14</f>
        <v>1</v>
      </c>
    </row>
    <row r="12" spans="1:7" s="2" customFormat="1" x14ac:dyDescent="0.25">
      <c r="A12" s="1"/>
      <c r="E12" s="153" t="s">
        <v>325</v>
      </c>
      <c r="F12" s="244"/>
      <c r="G12" s="23">
        <f>F12/F14</f>
        <v>0</v>
      </c>
    </row>
    <row r="13" spans="1:7" s="2" customFormat="1" ht="15.75" thickBot="1" x14ac:dyDescent="0.3">
      <c r="A13" s="1"/>
      <c r="E13" s="155" t="s">
        <v>321</v>
      </c>
      <c r="F13" s="202"/>
      <c r="G13" s="23">
        <f>F13/F14</f>
        <v>0</v>
      </c>
    </row>
    <row r="14" spans="1:7" s="2" customFormat="1" ht="15.75" thickBot="1" x14ac:dyDescent="0.3">
      <c r="A14" s="1"/>
      <c r="E14" s="157" t="s">
        <v>17</v>
      </c>
      <c r="F14" s="158">
        <v>2</v>
      </c>
      <c r="G14" s="36"/>
    </row>
    <row r="15" spans="1:7" s="2" customFormat="1" ht="15.75" thickBot="1" x14ac:dyDescent="0.3">
      <c r="A15" s="1"/>
      <c r="E15" s="197"/>
      <c r="F15" s="193"/>
      <c r="G15" s="198"/>
    </row>
    <row r="16" spans="1:7" s="2" customFormat="1" ht="15.75" thickBot="1" x14ac:dyDescent="0.3">
      <c r="A16" s="1"/>
      <c r="E16" s="763" t="s">
        <v>29</v>
      </c>
      <c r="F16" s="764"/>
      <c r="G16" s="765"/>
    </row>
    <row r="17" spans="1:7" s="3" customFormat="1" ht="15.75" thickBot="1" x14ac:dyDescent="0.3">
      <c r="A17" s="1"/>
      <c r="B17" s="2"/>
      <c r="C17" s="2"/>
      <c r="D17" s="2"/>
      <c r="E17" s="132" t="s">
        <v>3</v>
      </c>
      <c r="F17" s="133" t="s">
        <v>4</v>
      </c>
      <c r="G17" s="30" t="s">
        <v>214</v>
      </c>
    </row>
    <row r="18" spans="1:7" s="3" customFormat="1" ht="15.75" thickBot="1" x14ac:dyDescent="0.3">
      <c r="A18" s="1"/>
      <c r="E18" s="201">
        <f>E5</f>
        <v>56227563</v>
      </c>
      <c r="F18" s="201">
        <f>F5</f>
        <v>42938438</v>
      </c>
      <c r="G18" s="196">
        <f>F18/E18</f>
        <v>0.76365461544189639</v>
      </c>
    </row>
    <row r="19" spans="1:7" s="3" customFormat="1" x14ac:dyDescent="0.25">
      <c r="A19" s="1"/>
      <c r="G19" s="2"/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x14ac:dyDescent="0.25">
      <c r="B24" s="3"/>
      <c r="C24" s="3"/>
      <c r="D24" s="3"/>
    </row>
  </sheetData>
  <mergeCells count="3">
    <mergeCell ref="B1:G1"/>
    <mergeCell ref="E9:G9"/>
    <mergeCell ref="E16:G16"/>
  </mergeCells>
  <conditionalFormatting sqref="D3:D7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7"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46"/>
  <sheetViews>
    <sheetView view="pageBreakPreview" topLeftCell="B1" zoomScaleNormal="80" zoomScaleSheetLayoutView="100" workbookViewId="0">
      <selection activeCell="F2" sqref="F2"/>
    </sheetView>
  </sheetViews>
  <sheetFormatPr baseColWidth="10" defaultColWidth="11.42578125" defaultRowHeight="12.75" x14ac:dyDescent="0.2"/>
  <cols>
    <col min="1" max="1" width="3.7109375" style="15" bestFit="1" customWidth="1"/>
    <col min="2" max="2" width="60.5703125" style="15" customWidth="1"/>
    <col min="3" max="4" width="20.5703125" style="15" customWidth="1"/>
    <col min="5" max="6" width="29.28515625" style="16" customWidth="1"/>
    <col min="7" max="7" width="25.1406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742" t="s">
        <v>315</v>
      </c>
      <c r="C1" s="743"/>
      <c r="D1" s="743"/>
      <c r="E1" s="743"/>
      <c r="F1" s="743"/>
      <c r="G1" s="744"/>
    </row>
    <row r="2" spans="1:7" ht="102.75" customHeight="1" thickBot="1" x14ac:dyDescent="0.25"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58" customFormat="1" ht="18" x14ac:dyDescent="0.25">
      <c r="A3" s="57">
        <v>1</v>
      </c>
      <c r="B3" s="530" t="s">
        <v>169</v>
      </c>
      <c r="C3" s="531">
        <v>1</v>
      </c>
      <c r="D3" s="599">
        <f>[16]CONSOLIDADO!C39</f>
        <v>1</v>
      </c>
      <c r="E3" s="600">
        <v>9000000</v>
      </c>
      <c r="F3" s="514">
        <v>9000000</v>
      </c>
      <c r="G3" s="532">
        <f t="shared" ref="G3:G11" si="0">F3/E3</f>
        <v>1</v>
      </c>
    </row>
    <row r="4" spans="1:7" s="58" customFormat="1" ht="18" x14ac:dyDescent="0.25">
      <c r="A4" s="57">
        <v>2</v>
      </c>
      <c r="B4" s="601" t="s">
        <v>169</v>
      </c>
      <c r="C4" s="602">
        <v>1</v>
      </c>
      <c r="D4" s="603">
        <f>[16]CONSOLIDADO!C40</f>
        <v>1</v>
      </c>
      <c r="E4" s="600">
        <v>15000000</v>
      </c>
      <c r="F4" s="517">
        <v>15000000</v>
      </c>
      <c r="G4" s="604">
        <f t="shared" si="0"/>
        <v>1</v>
      </c>
    </row>
    <row r="5" spans="1:7" s="58" customFormat="1" ht="18" x14ac:dyDescent="0.25">
      <c r="A5" s="57">
        <v>3</v>
      </c>
      <c r="B5" s="601" t="s">
        <v>169</v>
      </c>
      <c r="C5" s="602">
        <v>1</v>
      </c>
      <c r="D5" s="605">
        <f>[16]CONSOLIDADO!C41</f>
        <v>0</v>
      </c>
      <c r="E5" s="600">
        <v>16000000</v>
      </c>
      <c r="F5" s="517">
        <v>0</v>
      </c>
      <c r="G5" s="604">
        <f t="shared" si="0"/>
        <v>0</v>
      </c>
    </row>
    <row r="6" spans="1:7" s="58" customFormat="1" ht="18" x14ac:dyDescent="0.25">
      <c r="A6" s="57">
        <v>4</v>
      </c>
      <c r="B6" s="601" t="s">
        <v>170</v>
      </c>
      <c r="C6" s="602">
        <v>1</v>
      </c>
      <c r="D6" s="603">
        <f>[16]CONSOLIDADO!C42</f>
        <v>1</v>
      </c>
      <c r="E6" s="600">
        <v>19200000</v>
      </c>
      <c r="F6" s="517">
        <v>19200000</v>
      </c>
      <c r="G6" s="604">
        <f t="shared" si="0"/>
        <v>1</v>
      </c>
    </row>
    <row r="7" spans="1:7" s="58" customFormat="1" ht="18" x14ac:dyDescent="0.25">
      <c r="A7" s="57">
        <v>5</v>
      </c>
      <c r="B7" s="601" t="s">
        <v>170</v>
      </c>
      <c r="C7" s="602">
        <v>1</v>
      </c>
      <c r="D7" s="605">
        <f>[16]CONSOLIDADO!C43</f>
        <v>0.33333333333333331</v>
      </c>
      <c r="E7" s="600">
        <v>60000000</v>
      </c>
      <c r="F7" s="517">
        <v>0</v>
      </c>
      <c r="G7" s="604">
        <f t="shared" si="0"/>
        <v>0</v>
      </c>
    </row>
    <row r="8" spans="1:7" s="58" customFormat="1" ht="18" x14ac:dyDescent="0.25">
      <c r="A8" s="57">
        <v>6</v>
      </c>
      <c r="B8" s="601" t="s">
        <v>170</v>
      </c>
      <c r="C8" s="602">
        <v>1</v>
      </c>
      <c r="D8" s="603">
        <f>[16]CONSOLIDADO!C44</f>
        <v>1</v>
      </c>
      <c r="E8" s="600">
        <v>40000000</v>
      </c>
      <c r="F8" s="517">
        <v>6000000</v>
      </c>
      <c r="G8" s="604">
        <f t="shared" si="0"/>
        <v>0.15</v>
      </c>
    </row>
    <row r="9" spans="1:7" s="58" customFormat="1" ht="18" x14ac:dyDescent="0.25">
      <c r="A9" s="57">
        <v>7</v>
      </c>
      <c r="B9" s="601" t="s">
        <v>171</v>
      </c>
      <c r="C9" s="602">
        <v>1</v>
      </c>
      <c r="D9" s="603">
        <f>[16]CONSOLIDADO!C45</f>
        <v>1</v>
      </c>
      <c r="E9" s="600">
        <v>75594160</v>
      </c>
      <c r="F9" s="517">
        <v>20000000</v>
      </c>
      <c r="G9" s="604">
        <f t="shared" si="0"/>
        <v>0.26457070228705498</v>
      </c>
    </row>
    <row r="10" spans="1:7" ht="18" x14ac:dyDescent="0.2">
      <c r="A10" s="58">
        <v>8</v>
      </c>
      <c r="B10" s="601" t="s">
        <v>171</v>
      </c>
      <c r="C10" s="602">
        <v>1</v>
      </c>
      <c r="D10" s="606">
        <f>[16]CONSOLIDADO!C46</f>
        <v>0.58333333333333337</v>
      </c>
      <c r="E10" s="600">
        <v>696606421</v>
      </c>
      <c r="F10" s="517">
        <v>245387564</v>
      </c>
      <c r="G10" s="604">
        <f>F10/E10</f>
        <v>0.35226141563228569</v>
      </c>
    </row>
    <row r="11" spans="1:7" ht="16.5" customHeight="1" x14ac:dyDescent="0.2">
      <c r="A11" s="58">
        <v>9</v>
      </c>
      <c r="B11" s="601" t="s">
        <v>171</v>
      </c>
      <c r="C11" s="602">
        <v>1</v>
      </c>
      <c r="D11" s="605">
        <f>[16]CONSOLIDADO!C47</f>
        <v>0</v>
      </c>
      <c r="E11" s="600">
        <v>10000000</v>
      </c>
      <c r="F11" s="517">
        <v>0</v>
      </c>
      <c r="G11" s="604">
        <f t="shared" si="0"/>
        <v>0</v>
      </c>
    </row>
    <row r="12" spans="1:7" ht="17.100000000000001" customHeight="1" x14ac:dyDescent="0.2">
      <c r="A12" s="57">
        <v>10</v>
      </c>
      <c r="B12" s="601" t="s">
        <v>172</v>
      </c>
      <c r="C12" s="602">
        <v>1</v>
      </c>
      <c r="D12" s="603">
        <f>[16]CONSOLIDADO!C48</f>
        <v>1</v>
      </c>
      <c r="E12" s="600">
        <v>0</v>
      </c>
      <c r="F12" s="517">
        <v>0</v>
      </c>
      <c r="G12" s="604">
        <v>0</v>
      </c>
    </row>
    <row r="13" spans="1:7" ht="36" x14ac:dyDescent="0.2">
      <c r="A13" s="15">
        <v>11</v>
      </c>
      <c r="B13" s="601" t="s">
        <v>172</v>
      </c>
      <c r="C13" s="602">
        <v>1</v>
      </c>
      <c r="D13" s="603">
        <f>[16]CONSOLIDADO!C49</f>
        <v>1</v>
      </c>
      <c r="E13" s="600">
        <v>0</v>
      </c>
      <c r="F13" s="517">
        <v>0</v>
      </c>
      <c r="G13" s="604">
        <v>0</v>
      </c>
    </row>
    <row r="14" spans="1:7" ht="25.5" customHeight="1" x14ac:dyDescent="0.2">
      <c r="A14" s="15">
        <v>12</v>
      </c>
      <c r="B14" s="601" t="s">
        <v>172</v>
      </c>
      <c r="C14" s="602">
        <v>1</v>
      </c>
      <c r="D14" s="605">
        <f>[16]CONSOLIDADO!C50</f>
        <v>0</v>
      </c>
      <c r="E14" s="600">
        <v>5000000</v>
      </c>
      <c r="F14" s="517">
        <v>0</v>
      </c>
      <c r="G14" s="604">
        <v>0</v>
      </c>
    </row>
    <row r="15" spans="1:7" ht="36" x14ac:dyDescent="0.2">
      <c r="A15" s="15">
        <v>13</v>
      </c>
      <c r="B15" s="601" t="s">
        <v>172</v>
      </c>
      <c r="C15" s="602">
        <v>1</v>
      </c>
      <c r="D15" s="605">
        <f>[16]CONSOLIDADO!C51</f>
        <v>0</v>
      </c>
      <c r="E15" s="600">
        <v>5000000</v>
      </c>
      <c r="F15" s="517">
        <v>0</v>
      </c>
      <c r="G15" s="604">
        <f>F15/E15</f>
        <v>0</v>
      </c>
    </row>
    <row r="16" spans="1:7" ht="18" x14ac:dyDescent="0.2">
      <c r="A16" s="15">
        <v>14</v>
      </c>
      <c r="B16" s="601" t="s">
        <v>173</v>
      </c>
      <c r="C16" s="602">
        <v>1</v>
      </c>
      <c r="D16" s="603">
        <f>[16]CONSOLIDADO!C52</f>
        <v>1</v>
      </c>
      <c r="E16" s="600">
        <v>788300000</v>
      </c>
      <c r="F16" s="517">
        <f>600000000+188300000</f>
        <v>788300000</v>
      </c>
      <c r="G16" s="604">
        <f>F16/E16</f>
        <v>1</v>
      </c>
    </row>
    <row r="17" spans="1:7" ht="18" x14ac:dyDescent="0.2">
      <c r="A17" s="15">
        <v>15</v>
      </c>
      <c r="B17" s="601" t="s">
        <v>173</v>
      </c>
      <c r="C17" s="602">
        <v>1</v>
      </c>
      <c r="D17" s="605">
        <f>[16]CONSOLIDADO!C53</f>
        <v>0</v>
      </c>
      <c r="E17" s="600"/>
      <c r="F17" s="517">
        <v>0</v>
      </c>
      <c r="G17" s="604">
        <v>0</v>
      </c>
    </row>
    <row r="18" spans="1:7" ht="18" x14ac:dyDescent="0.2">
      <c r="A18" s="15">
        <v>16</v>
      </c>
      <c r="B18" s="601" t="s">
        <v>173</v>
      </c>
      <c r="C18" s="602">
        <v>1</v>
      </c>
      <c r="D18" s="603">
        <f>[16]CONSOLIDADO!C54</f>
        <v>1</v>
      </c>
      <c r="E18" s="600">
        <v>23500000</v>
      </c>
      <c r="F18" s="517">
        <v>23500000</v>
      </c>
      <c r="G18" s="604">
        <f t="shared" ref="G18:G25" si="1">F18/E18</f>
        <v>1</v>
      </c>
    </row>
    <row r="19" spans="1:7" ht="18" x14ac:dyDescent="0.2">
      <c r="A19" s="15">
        <v>17</v>
      </c>
      <c r="B19" s="601" t="s">
        <v>173</v>
      </c>
      <c r="C19" s="602">
        <v>1</v>
      </c>
      <c r="D19" s="605">
        <f>[16]CONSOLIDADO!C55</f>
        <v>0</v>
      </c>
      <c r="E19" s="600">
        <f>315301613+38800000+77600000</f>
        <v>431701613</v>
      </c>
      <c r="F19" s="517"/>
      <c r="G19" s="604">
        <f t="shared" si="1"/>
        <v>0</v>
      </c>
    </row>
    <row r="20" spans="1:7" ht="18" x14ac:dyDescent="0.2">
      <c r="A20" s="15">
        <v>19</v>
      </c>
      <c r="B20" s="601" t="s">
        <v>174</v>
      </c>
      <c r="C20" s="602">
        <v>1</v>
      </c>
      <c r="D20" s="603">
        <f>[16]CONSOLIDADO!C56</f>
        <v>1</v>
      </c>
      <c r="E20" s="600">
        <v>10000000</v>
      </c>
      <c r="F20" s="517">
        <v>0</v>
      </c>
      <c r="G20" s="604">
        <f t="shared" si="1"/>
        <v>0</v>
      </c>
    </row>
    <row r="21" spans="1:7" ht="18" x14ac:dyDescent="0.2">
      <c r="A21" s="15">
        <v>19</v>
      </c>
      <c r="B21" s="601" t="s">
        <v>174</v>
      </c>
      <c r="C21" s="602">
        <v>1</v>
      </c>
      <c r="D21" s="605">
        <f>[16]CONSOLIDADO!C57</f>
        <v>0.4</v>
      </c>
      <c r="E21" s="600">
        <v>43656286</v>
      </c>
      <c r="F21" s="517">
        <v>13000000</v>
      </c>
      <c r="G21" s="604">
        <f t="shared" si="1"/>
        <v>0.29778071364110087</v>
      </c>
    </row>
    <row r="22" spans="1:7" ht="18" x14ac:dyDescent="0.2">
      <c r="A22" s="15">
        <v>20</v>
      </c>
      <c r="B22" s="601" t="s">
        <v>174</v>
      </c>
      <c r="C22" s="602">
        <v>1</v>
      </c>
      <c r="D22" s="605">
        <f>[16]CONSOLIDADO!C58</f>
        <v>0.30180632212744607</v>
      </c>
      <c r="E22" s="600">
        <f>77989040+38800000</f>
        <v>116789040</v>
      </c>
      <c r="F22" s="517">
        <v>43800000</v>
      </c>
      <c r="G22" s="604">
        <f t="shared" si="1"/>
        <v>0.37503519165839533</v>
      </c>
    </row>
    <row r="23" spans="1:7" ht="18" x14ac:dyDescent="0.2">
      <c r="A23" s="15">
        <v>21</v>
      </c>
      <c r="B23" s="601" t="s">
        <v>175</v>
      </c>
      <c r="C23" s="602">
        <v>1</v>
      </c>
      <c r="D23" s="603">
        <f>[16]CONSOLIDADO!C59</f>
        <v>1</v>
      </c>
      <c r="E23" s="600">
        <v>39600000</v>
      </c>
      <c r="F23" s="517">
        <v>39600000</v>
      </c>
      <c r="G23" s="604">
        <f t="shared" si="1"/>
        <v>1</v>
      </c>
    </row>
    <row r="24" spans="1:7" ht="18" x14ac:dyDescent="0.2">
      <c r="A24" s="15">
        <v>22</v>
      </c>
      <c r="B24" s="601" t="s">
        <v>175</v>
      </c>
      <c r="C24" s="602">
        <v>1</v>
      </c>
      <c r="D24" s="605">
        <f>[16]CONSOLIDADO!C60</f>
        <v>0</v>
      </c>
      <c r="E24" s="600">
        <f>71140000+10800000</f>
        <v>81940000</v>
      </c>
      <c r="F24" s="517">
        <v>9100000</v>
      </c>
      <c r="G24" s="604">
        <f t="shared" si="1"/>
        <v>0.11105687088113253</v>
      </c>
    </row>
    <row r="25" spans="1:7" ht="18.75" thickBot="1" x14ac:dyDescent="0.25">
      <c r="A25" s="246">
        <v>23</v>
      </c>
      <c r="B25" s="607" t="s">
        <v>175</v>
      </c>
      <c r="C25" s="608">
        <v>1</v>
      </c>
      <c r="D25" s="609">
        <f>[16]CONSOLIDADO!C61</f>
        <v>0</v>
      </c>
      <c r="E25" s="600">
        <v>895485108</v>
      </c>
      <c r="F25" s="535">
        <v>0</v>
      </c>
      <c r="G25" s="610">
        <f t="shared" si="1"/>
        <v>0</v>
      </c>
    </row>
    <row r="26" spans="1:7" ht="30" customHeight="1" thickBot="1" x14ac:dyDescent="0.25">
      <c r="B26" s="611" t="s">
        <v>30</v>
      </c>
      <c r="C26" s="499">
        <f>SUM(C3:C25)</f>
        <v>23</v>
      </c>
      <c r="D26" s="612">
        <f>SUM(D3:D25)/23</f>
        <v>0.54862926038235282</v>
      </c>
      <c r="E26" s="338">
        <f>SUM(E3:E25)</f>
        <v>3382372628</v>
      </c>
      <c r="F26" s="338">
        <f>SUM(F3:F25)</f>
        <v>1231887564</v>
      </c>
      <c r="G26" s="613">
        <f>F26/E26</f>
        <v>0.36420811645712031</v>
      </c>
    </row>
    <row r="27" spans="1:7" s="16" customFormat="1" hidden="1" x14ac:dyDescent="0.2">
      <c r="B27" s="247"/>
      <c r="C27" s="238"/>
      <c r="D27" s="248">
        <v>1</v>
      </c>
      <c r="E27" s="222"/>
      <c r="F27" s="222"/>
      <c r="G27" s="248">
        <v>1</v>
      </c>
    </row>
    <row r="28" spans="1:7" s="16" customFormat="1" hidden="1" x14ac:dyDescent="0.2">
      <c r="B28" s="25"/>
      <c r="C28" s="25"/>
      <c r="D28" s="120">
        <v>0</v>
      </c>
      <c r="E28" s="56"/>
      <c r="F28" s="56"/>
      <c r="G28" s="121">
        <v>0</v>
      </c>
    </row>
    <row r="29" spans="1:7" s="16" customFormat="1" x14ac:dyDescent="0.2">
      <c r="B29" s="15"/>
      <c r="C29" s="15"/>
      <c r="D29" s="15"/>
      <c r="G29" s="15"/>
    </row>
    <row r="30" spans="1:7" s="16" customFormat="1" ht="13.5" thickBot="1" x14ac:dyDescent="0.25">
      <c r="B30" s="15"/>
      <c r="C30" s="15"/>
      <c r="D30" s="15"/>
      <c r="G30" s="15"/>
    </row>
    <row r="31" spans="1:7" s="16" customFormat="1" ht="15.75" thickBot="1" x14ac:dyDescent="0.25">
      <c r="A31" s="15"/>
      <c r="B31" s="15"/>
      <c r="C31" s="15"/>
      <c r="D31" s="15"/>
      <c r="E31" s="735" t="s">
        <v>16</v>
      </c>
      <c r="F31" s="736"/>
      <c r="G31" s="737"/>
    </row>
    <row r="32" spans="1:7" s="16" customFormat="1" ht="15.75" thickBot="1" x14ac:dyDescent="0.25">
      <c r="A32" s="15"/>
      <c r="B32" s="15"/>
      <c r="C32" s="15"/>
      <c r="D32" s="15"/>
      <c r="E32" s="258" t="s">
        <v>13</v>
      </c>
      <c r="F32" s="256" t="s">
        <v>14</v>
      </c>
      <c r="G32" s="257" t="s">
        <v>15</v>
      </c>
    </row>
    <row r="33" spans="1:7" s="16" customFormat="1" ht="15" x14ac:dyDescent="0.2">
      <c r="A33" s="15"/>
      <c r="B33" s="15"/>
      <c r="C33" s="15"/>
      <c r="D33" s="15"/>
      <c r="E33" s="144" t="s">
        <v>326</v>
      </c>
      <c r="F33" s="145">
        <v>11</v>
      </c>
      <c r="G33" s="159">
        <f>F33/F36</f>
        <v>0.47826086956521741</v>
      </c>
    </row>
    <row r="34" spans="1:7" ht="15" x14ac:dyDescent="0.2">
      <c r="E34" s="146" t="s">
        <v>325</v>
      </c>
      <c r="F34" s="147">
        <v>1</v>
      </c>
      <c r="G34" s="159">
        <f>F34/F36</f>
        <v>4.3478260869565216E-2</v>
      </c>
    </row>
    <row r="35" spans="1:7" ht="15.75" thickBot="1" x14ac:dyDescent="0.25">
      <c r="E35" s="148" t="s">
        <v>321</v>
      </c>
      <c r="F35" s="149">
        <v>11</v>
      </c>
      <c r="G35" s="159">
        <f>F35/F36</f>
        <v>0.47826086956521741</v>
      </c>
    </row>
    <row r="36" spans="1:7" ht="15.75" thickBot="1" x14ac:dyDescent="0.3">
      <c r="E36" s="410" t="s">
        <v>17</v>
      </c>
      <c r="F36" s="150">
        <f>SUM(F33:F35)</f>
        <v>23</v>
      </c>
      <c r="G36" s="160"/>
    </row>
    <row r="37" spans="1:7" ht="15.75" thickBot="1" x14ac:dyDescent="0.25">
      <c r="E37" s="614"/>
      <c r="F37" s="615"/>
      <c r="G37" s="616"/>
    </row>
    <row r="38" spans="1:7" ht="15.75" thickBot="1" x14ac:dyDescent="0.3">
      <c r="E38" s="767" t="s">
        <v>277</v>
      </c>
      <c r="F38" s="768"/>
      <c r="G38" s="769"/>
    </row>
    <row r="39" spans="1:7" ht="15.75" thickBot="1" x14ac:dyDescent="0.25">
      <c r="E39" s="258" t="s">
        <v>3</v>
      </c>
      <c r="F39" s="256" t="s">
        <v>4</v>
      </c>
      <c r="G39" s="161" t="s">
        <v>272</v>
      </c>
    </row>
    <row r="40" spans="1:7" ht="15" thickBot="1" x14ac:dyDescent="0.25">
      <c r="B40" s="16"/>
      <c r="C40" s="16"/>
      <c r="D40" s="16"/>
      <c r="E40" s="617">
        <f>E26</f>
        <v>3382372628</v>
      </c>
      <c r="F40" s="618">
        <f>F26</f>
        <v>1231887564</v>
      </c>
      <c r="G40" s="69">
        <f>F40/E40</f>
        <v>0.36420811645712031</v>
      </c>
    </row>
    <row r="41" spans="1:7" x14ac:dyDescent="0.2">
      <c r="B41" s="16"/>
      <c r="C41" s="16"/>
      <c r="D41" s="16"/>
    </row>
    <row r="42" spans="1:7" x14ac:dyDescent="0.2">
      <c r="B42" s="16"/>
      <c r="C42" s="16"/>
      <c r="D42" s="16"/>
    </row>
    <row r="43" spans="1:7" x14ac:dyDescent="0.2">
      <c r="B43" s="16"/>
      <c r="C43" s="16"/>
      <c r="D43" s="16"/>
    </row>
    <row r="44" spans="1:7" x14ac:dyDescent="0.2">
      <c r="B44" s="16"/>
      <c r="C44" s="16"/>
      <c r="D44" s="16"/>
    </row>
    <row r="45" spans="1:7" x14ac:dyDescent="0.2">
      <c r="B45" s="16"/>
      <c r="C45" s="16"/>
      <c r="D45" s="16"/>
    </row>
    <row r="46" spans="1:7" x14ac:dyDescent="0.2">
      <c r="B46" s="16"/>
      <c r="C46" s="16"/>
      <c r="D46" s="16"/>
    </row>
  </sheetData>
  <mergeCells count="3">
    <mergeCell ref="B1:G1"/>
    <mergeCell ref="E31:G31"/>
    <mergeCell ref="E38:G38"/>
  </mergeCells>
  <conditionalFormatting sqref="D26:D28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35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21:G25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28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1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1"/>
  <sheetViews>
    <sheetView view="pageBreakPreview" zoomScaleNormal="42" zoomScaleSheetLayoutView="100" workbookViewId="0">
      <selection activeCell="I6" sqref="I6"/>
    </sheetView>
  </sheetViews>
  <sheetFormatPr baseColWidth="10" defaultColWidth="11.42578125" defaultRowHeight="15" x14ac:dyDescent="0.25"/>
  <cols>
    <col min="1" max="1" width="3" style="1" bestFit="1" customWidth="1"/>
    <col min="2" max="2" width="70" style="1" bestFit="1" customWidth="1"/>
    <col min="3" max="4" width="20.5703125" style="1" customWidth="1"/>
    <col min="5" max="5" width="27.42578125" style="3" customWidth="1"/>
    <col min="6" max="6" width="24.5703125" style="3" customWidth="1"/>
    <col min="7" max="7" width="21.28515625" style="2" customWidth="1"/>
    <col min="8" max="8" width="16.42578125" style="1" customWidth="1"/>
    <col min="9" max="10" width="19" style="1" bestFit="1" customWidth="1"/>
    <col min="11" max="16384" width="11.42578125" style="1"/>
  </cols>
  <sheetData>
    <row r="1" spans="1:9" ht="69.75" customHeight="1" thickBot="1" x14ac:dyDescent="0.3">
      <c r="B1" s="742" t="s">
        <v>316</v>
      </c>
      <c r="C1" s="743"/>
      <c r="D1" s="743"/>
      <c r="E1" s="743"/>
      <c r="F1" s="743"/>
      <c r="G1" s="744"/>
    </row>
    <row r="2" spans="1:9" s="2" customFormat="1" ht="65.25" customHeight="1" thickBot="1" x14ac:dyDescent="0.3">
      <c r="B2" s="14" t="s">
        <v>1</v>
      </c>
      <c r="C2" s="166" t="s">
        <v>55</v>
      </c>
      <c r="D2" s="166" t="s">
        <v>63</v>
      </c>
      <c r="E2" s="167" t="s">
        <v>57</v>
      </c>
      <c r="F2" s="168" t="s">
        <v>58</v>
      </c>
      <c r="G2" s="169" t="s">
        <v>56</v>
      </c>
      <c r="I2" s="10"/>
    </row>
    <row r="3" spans="1:9" s="2" customFormat="1" ht="41.25" customHeight="1" x14ac:dyDescent="0.25">
      <c r="A3" s="4">
        <v>1</v>
      </c>
      <c r="B3" s="619" t="s">
        <v>176</v>
      </c>
      <c r="C3" s="712">
        <v>4</v>
      </c>
      <c r="D3" s="353">
        <v>0.84</v>
      </c>
      <c r="E3" s="706">
        <v>1455267420</v>
      </c>
      <c r="F3" s="707">
        <v>1182861667</v>
      </c>
      <c r="G3" s="316">
        <f t="shared" ref="G3:G8" si="0">F3/E3</f>
        <v>0.81281395483999774</v>
      </c>
    </row>
    <row r="4" spans="1:9" s="2" customFormat="1" ht="27.75" customHeight="1" x14ac:dyDescent="0.25">
      <c r="A4" s="4">
        <v>2</v>
      </c>
      <c r="B4" s="620" t="s">
        <v>177</v>
      </c>
      <c r="C4" s="621">
        <v>2</v>
      </c>
      <c r="D4" s="353">
        <v>0.97499999999999998</v>
      </c>
      <c r="E4" s="708">
        <v>1573011770.55</v>
      </c>
      <c r="F4" s="495">
        <v>904340000</v>
      </c>
      <c r="G4" s="316">
        <f t="shared" si="0"/>
        <v>0.57490987475815236</v>
      </c>
    </row>
    <row r="5" spans="1:9" s="2" customFormat="1" ht="41.25" customHeight="1" x14ac:dyDescent="0.25">
      <c r="A5" s="4">
        <v>3</v>
      </c>
      <c r="B5" s="567" t="s">
        <v>178</v>
      </c>
      <c r="C5" s="621">
        <v>2</v>
      </c>
      <c r="D5" s="353">
        <v>0.85419999999999996</v>
      </c>
      <c r="E5" s="708">
        <v>280000000</v>
      </c>
      <c r="F5" s="495">
        <v>147000000</v>
      </c>
      <c r="G5" s="316">
        <f t="shared" si="0"/>
        <v>0.52500000000000002</v>
      </c>
    </row>
    <row r="6" spans="1:9" s="2" customFormat="1" ht="38.25" customHeight="1" x14ac:dyDescent="0.25">
      <c r="A6" s="4">
        <v>4</v>
      </c>
      <c r="B6" s="567" t="s">
        <v>179</v>
      </c>
      <c r="C6" s="621">
        <v>2</v>
      </c>
      <c r="D6" s="353">
        <v>0.7</v>
      </c>
      <c r="E6" s="708">
        <v>1007551927.9299999</v>
      </c>
      <c r="F6" s="495">
        <v>616889577</v>
      </c>
      <c r="G6" s="316">
        <f t="shared" si="0"/>
        <v>0.61226578988081559</v>
      </c>
    </row>
    <row r="7" spans="1:9" s="2" customFormat="1" ht="45.75" customHeight="1" thickBot="1" x14ac:dyDescent="0.3">
      <c r="A7" s="4">
        <v>5</v>
      </c>
      <c r="B7" s="622" t="s">
        <v>180</v>
      </c>
      <c r="C7" s="623">
        <v>1</v>
      </c>
      <c r="D7" s="353">
        <v>0</v>
      </c>
      <c r="E7" s="709">
        <v>1000000</v>
      </c>
      <c r="F7" s="710">
        <v>1000000</v>
      </c>
      <c r="G7" s="711">
        <f t="shared" si="0"/>
        <v>1</v>
      </c>
    </row>
    <row r="8" spans="1:9" ht="33" customHeight="1" thickBot="1" x14ac:dyDescent="0.3">
      <c r="B8" s="297" t="s">
        <v>0</v>
      </c>
      <c r="C8" s="713">
        <f>SUM(C3:C7)</f>
        <v>11</v>
      </c>
      <c r="D8" s="624">
        <f>SUM(D3:D7)/5</f>
        <v>0.67383999999999999</v>
      </c>
      <c r="E8" s="338">
        <f>SUM(E3:E7)</f>
        <v>4316831118.4800005</v>
      </c>
      <c r="F8" s="338">
        <f>SUM(F3:F7)</f>
        <v>2852091244</v>
      </c>
      <c r="G8" s="301">
        <f t="shared" si="0"/>
        <v>0.6606909479943357</v>
      </c>
    </row>
    <row r="9" spans="1:9" hidden="1" x14ac:dyDescent="0.25">
      <c r="B9" s="87"/>
      <c r="C9" s="110"/>
      <c r="D9" s="91">
        <v>1</v>
      </c>
      <c r="E9" s="114"/>
      <c r="F9" s="114"/>
      <c r="G9" s="122">
        <v>1</v>
      </c>
    </row>
    <row r="10" spans="1:9" ht="15" hidden="1" customHeight="1" x14ac:dyDescent="0.25">
      <c r="B10" s="15"/>
      <c r="C10" s="15"/>
      <c r="D10" s="91">
        <v>0</v>
      </c>
      <c r="E10" s="16"/>
      <c r="F10" s="16"/>
      <c r="G10" s="122">
        <v>0</v>
      </c>
    </row>
    <row r="11" spans="1:9" s="2" customFormat="1" ht="15.75" thickBot="1" x14ac:dyDescent="0.3">
      <c r="A11" s="1"/>
      <c r="E11" s="3"/>
      <c r="F11" s="3"/>
    </row>
    <row r="12" spans="1:9" s="3" customFormat="1" ht="15.75" thickBot="1" x14ac:dyDescent="0.3">
      <c r="A12" s="1"/>
      <c r="E12" s="745" t="s">
        <v>16</v>
      </c>
      <c r="F12" s="746"/>
      <c r="G12" s="747"/>
    </row>
    <row r="13" spans="1:9" s="3" customFormat="1" ht="15.75" thickBot="1" x14ac:dyDescent="0.3">
      <c r="A13" s="1"/>
      <c r="E13" s="132" t="s">
        <v>13</v>
      </c>
      <c r="F13" s="133" t="s">
        <v>14</v>
      </c>
      <c r="G13" s="134" t="s">
        <v>15</v>
      </c>
    </row>
    <row r="14" spans="1:9" s="3" customFormat="1" x14ac:dyDescent="0.25">
      <c r="A14" s="1"/>
      <c r="E14" s="151" t="s">
        <v>326</v>
      </c>
      <c r="F14" s="152">
        <v>7</v>
      </c>
      <c r="G14" s="23">
        <f>F14/F17</f>
        <v>0.63636363636363635</v>
      </c>
    </row>
    <row r="15" spans="1:9" s="3" customFormat="1" x14ac:dyDescent="0.25">
      <c r="A15" s="1"/>
      <c r="E15" s="153" t="s">
        <v>325</v>
      </c>
      <c r="F15" s="154">
        <v>3</v>
      </c>
      <c r="G15" s="23">
        <f>F15/F17</f>
        <v>0.27272727272727271</v>
      </c>
    </row>
    <row r="16" spans="1:9" s="3" customFormat="1" ht="15.75" thickBot="1" x14ac:dyDescent="0.3">
      <c r="A16" s="1"/>
      <c r="E16" s="155" t="s">
        <v>321</v>
      </c>
      <c r="F16" s="156">
        <v>1</v>
      </c>
      <c r="G16" s="23">
        <f>F16/F17</f>
        <v>9.0909090909090912E-2</v>
      </c>
    </row>
    <row r="17" spans="1:7" s="3" customFormat="1" ht="15.75" thickBot="1" x14ac:dyDescent="0.3">
      <c r="A17" s="1"/>
      <c r="E17" s="157" t="s">
        <v>17</v>
      </c>
      <c r="F17" s="158">
        <f>SUM(F14:F16)</f>
        <v>11</v>
      </c>
      <c r="G17" s="50"/>
    </row>
    <row r="18" spans="1:7" s="3" customFormat="1" ht="15.75" thickBot="1" x14ac:dyDescent="0.3">
      <c r="A18" s="1"/>
      <c r="E18" s="192"/>
      <c r="F18" s="193"/>
      <c r="G18" s="33"/>
    </row>
    <row r="19" spans="1:7" ht="15.75" thickBot="1" x14ac:dyDescent="0.3">
      <c r="E19" s="763" t="s">
        <v>275</v>
      </c>
      <c r="F19" s="764"/>
      <c r="G19" s="765"/>
    </row>
    <row r="20" spans="1:7" ht="15.75" thickBot="1" x14ac:dyDescent="0.3">
      <c r="E20" s="132" t="s">
        <v>3</v>
      </c>
      <c r="F20" s="133" t="s">
        <v>4</v>
      </c>
      <c r="G20" s="30" t="s">
        <v>214</v>
      </c>
    </row>
    <row r="21" spans="1:7" ht="15.75" thickBot="1" x14ac:dyDescent="0.3">
      <c r="E21" s="203">
        <f>E8</f>
        <v>4316831118.4800005</v>
      </c>
      <c r="F21" s="204">
        <f>F8</f>
        <v>2852091244</v>
      </c>
      <c r="G21" s="29">
        <f>F21/E21</f>
        <v>0.6606909479943357</v>
      </c>
    </row>
  </sheetData>
  <mergeCells count="3">
    <mergeCell ref="B1:G1"/>
    <mergeCell ref="E12:G12"/>
    <mergeCell ref="E19:G19"/>
  </mergeCells>
  <conditionalFormatting sqref="D8:D10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70866141732283472" top="0.74803149606299213" bottom="1.3385826771653544" header="0.31496062992125984" footer="0.31496062992125984"/>
  <pageSetup paperSize="5" scale="51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95"/>
  <sheetViews>
    <sheetView view="pageBreakPreview" zoomScaleNormal="41" zoomScaleSheetLayoutView="100" workbookViewId="0">
      <selection activeCell="B2" sqref="B2:G2"/>
    </sheetView>
  </sheetViews>
  <sheetFormatPr baseColWidth="10" defaultColWidth="11.42578125" defaultRowHeight="15" x14ac:dyDescent="0.25"/>
  <cols>
    <col min="1" max="1" width="5.42578125" style="77" customWidth="1"/>
    <col min="2" max="2" width="60.5703125" style="60" customWidth="1"/>
    <col min="3" max="4" width="20.5703125" style="60" customWidth="1"/>
    <col min="5" max="5" width="25.5703125" style="59" customWidth="1"/>
    <col min="6" max="6" width="26" style="59" customWidth="1"/>
    <col min="7" max="7" width="20.5703125" style="2" customWidth="1"/>
    <col min="8" max="8" width="16.42578125" style="1" customWidth="1"/>
    <col min="9" max="9" width="7.85546875" style="1" customWidth="1"/>
    <col min="10" max="11" width="20.42578125" style="1" customWidth="1"/>
    <col min="12" max="12" width="20" style="1" customWidth="1"/>
    <col min="13" max="15" width="11.42578125" style="1"/>
    <col min="16" max="16" width="19.85546875" style="1" customWidth="1"/>
    <col min="17" max="18" width="19.42578125" style="1" customWidth="1"/>
    <col min="19" max="16384" width="11.42578125" style="1"/>
  </cols>
  <sheetData>
    <row r="1" spans="1:7" ht="15.75" thickBot="1" x14ac:dyDescent="0.3"/>
    <row r="2" spans="1:7" ht="74.25" customHeight="1" thickBot="1" x14ac:dyDescent="0.3">
      <c r="B2" s="742" t="s">
        <v>317</v>
      </c>
      <c r="C2" s="743"/>
      <c r="D2" s="743"/>
      <c r="E2" s="743"/>
      <c r="F2" s="743"/>
      <c r="G2" s="744"/>
    </row>
    <row r="3" spans="1:7" s="2" customFormat="1" ht="81.75" customHeight="1" thickBot="1" x14ac:dyDescent="0.3">
      <c r="A3" s="20"/>
      <c r="B3" s="78" t="s">
        <v>1</v>
      </c>
      <c r="C3" s="140" t="s">
        <v>55</v>
      </c>
      <c r="D3" s="140" t="s">
        <v>63</v>
      </c>
      <c r="E3" s="141" t="s">
        <v>57</v>
      </c>
      <c r="F3" s="142" t="s">
        <v>58</v>
      </c>
      <c r="G3" s="143" t="s">
        <v>56</v>
      </c>
    </row>
    <row r="4" spans="1:7" ht="76.5" x14ac:dyDescent="0.25">
      <c r="A4" s="77">
        <v>1</v>
      </c>
      <c r="B4" s="171" t="s">
        <v>215</v>
      </c>
      <c r="C4" s="625">
        <f>[17]CONSOLIDADO!E236</f>
        <v>1</v>
      </c>
      <c r="D4" s="459">
        <f>[17]CONSOLIDADO!F236</f>
        <v>1</v>
      </c>
      <c r="E4" s="626" t="str">
        <f>[17]CONSOLIDADO!G236</f>
        <v>Actividades de Gestión</v>
      </c>
      <c r="F4" s="627" t="str">
        <f>[17]CONSOLIDADO!H236</f>
        <v>Actividades de Gestión</v>
      </c>
      <c r="G4" s="627" t="str">
        <f>+F4</f>
        <v>Actividades de Gestión</v>
      </c>
    </row>
    <row r="5" spans="1:7" ht="63.75" x14ac:dyDescent="0.25">
      <c r="A5" s="77">
        <v>2</v>
      </c>
      <c r="B5" s="205" t="s">
        <v>216</v>
      </c>
      <c r="C5" s="628">
        <f>[17]CONSOLIDADO!E237</f>
        <v>1</v>
      </c>
      <c r="D5" s="353">
        <f>[17]CONSOLIDADO!F237</f>
        <v>0.68632841789552612</v>
      </c>
      <c r="E5" s="629">
        <f>[17]CONSOLIDADO!G237</f>
        <v>220000000</v>
      </c>
      <c r="F5" s="630">
        <f>[17]CONSOLIDADO!H237</f>
        <v>153668218.36000001</v>
      </c>
      <c r="G5" s="356">
        <f t="shared" ref="G5:G58" si="0">F5/E5</f>
        <v>0.69849190163636365</v>
      </c>
    </row>
    <row r="6" spans="1:7" ht="74.099999999999994" customHeight="1" x14ac:dyDescent="0.25">
      <c r="A6" s="77">
        <v>3</v>
      </c>
      <c r="B6" s="174" t="s">
        <v>217</v>
      </c>
      <c r="C6" s="631">
        <f>[17]CONSOLIDADO!E238</f>
        <v>3</v>
      </c>
      <c r="D6" s="632">
        <f>[17]CONSOLIDADO!F238</f>
        <v>0.28999999999999998</v>
      </c>
      <c r="E6" s="629">
        <f>[17]CONSOLIDADO!G238</f>
        <v>3332140248.7199998</v>
      </c>
      <c r="F6" s="630">
        <f>[17]CONSOLIDADO!H238</f>
        <v>2180882046.2199998</v>
      </c>
      <c r="G6" s="356">
        <f t="shared" si="0"/>
        <v>0.65449887562738651</v>
      </c>
    </row>
    <row r="7" spans="1:7" ht="63.75" x14ac:dyDescent="0.25">
      <c r="A7" s="77">
        <v>4</v>
      </c>
      <c r="B7" s="174" t="s">
        <v>218</v>
      </c>
      <c r="C7" s="633">
        <f>[17]CONSOLIDADO!E239</f>
        <v>2</v>
      </c>
      <c r="D7" s="632">
        <f>[17]CONSOLIDADO!F239</f>
        <v>0.5</v>
      </c>
      <c r="E7" s="629">
        <f>[17]CONSOLIDADO!G239</f>
        <v>1629000000</v>
      </c>
      <c r="F7" s="630">
        <f>[17]CONSOLIDADO!H239</f>
        <v>60723024.020000003</v>
      </c>
      <c r="G7" s="356">
        <f t="shared" si="0"/>
        <v>3.7276257839165133E-2</v>
      </c>
    </row>
    <row r="8" spans="1:7" ht="51" x14ac:dyDescent="0.25">
      <c r="A8" s="77">
        <v>5</v>
      </c>
      <c r="B8" s="174" t="s">
        <v>219</v>
      </c>
      <c r="C8" s="633">
        <f>[17]CONSOLIDADO!E240</f>
        <v>3</v>
      </c>
      <c r="D8" s="632">
        <f>[17]CONSOLIDADO!F240</f>
        <v>0.27</v>
      </c>
      <c r="E8" s="630">
        <f>[17]CONSOLIDADO!G240</f>
        <v>350000000</v>
      </c>
      <c r="F8" s="630">
        <f>[17]CONSOLIDADO!H240</f>
        <v>0</v>
      </c>
      <c r="G8" s="356">
        <f t="shared" si="0"/>
        <v>0</v>
      </c>
    </row>
    <row r="9" spans="1:7" ht="87.75" customHeight="1" x14ac:dyDescent="0.25">
      <c r="A9" s="77">
        <v>6</v>
      </c>
      <c r="B9" s="172" t="s">
        <v>220</v>
      </c>
      <c r="C9" s="631">
        <f>[17]CONSOLIDADO!E241</f>
        <v>1</v>
      </c>
      <c r="D9" s="632">
        <f>[17]CONSOLIDADO!F241</f>
        <v>0.52</v>
      </c>
      <c r="E9" s="629">
        <f>[17]CONSOLIDADO!G241</f>
        <v>2023040000</v>
      </c>
      <c r="F9" s="630">
        <f>[17]CONSOLIDADO!H241</f>
        <v>1073407182</v>
      </c>
      <c r="G9" s="356">
        <f t="shared" si="0"/>
        <v>0.53059118059949384</v>
      </c>
    </row>
    <row r="10" spans="1:7" ht="76.5" x14ac:dyDescent="0.25">
      <c r="A10" s="77">
        <v>7</v>
      </c>
      <c r="B10" s="172" t="s">
        <v>221</v>
      </c>
      <c r="C10" s="633">
        <f>[17]CONSOLIDADO!E242</f>
        <v>1</v>
      </c>
      <c r="D10" s="632">
        <f>[17]CONSOLIDADO!F242</f>
        <v>0.65</v>
      </c>
      <c r="E10" s="629">
        <f>[17]CONSOLIDADO!G242</f>
        <v>1460000000</v>
      </c>
      <c r="F10" s="630">
        <f>[17]CONSOLIDADO!H242</f>
        <v>1111506192.3099999</v>
      </c>
      <c r="G10" s="356">
        <f t="shared" si="0"/>
        <v>0.76130561117123285</v>
      </c>
    </row>
    <row r="11" spans="1:7" ht="63.75" x14ac:dyDescent="0.25">
      <c r="A11" s="77">
        <v>8</v>
      </c>
      <c r="B11" s="174" t="s">
        <v>222</v>
      </c>
      <c r="C11" s="634">
        <f>[17]CONSOLIDADO!E243</f>
        <v>2</v>
      </c>
      <c r="D11" s="632">
        <f>[17]CONSOLIDADO!F243</f>
        <v>0.5</v>
      </c>
      <c r="E11" s="629">
        <f>[17]CONSOLIDADO!G243</f>
        <v>1543987415</v>
      </c>
      <c r="F11" s="630">
        <f>[17]CONSOLIDADO!H243</f>
        <v>439659691.75999999</v>
      </c>
      <c r="G11" s="356">
        <f t="shared" si="0"/>
        <v>0.28475600739271567</v>
      </c>
    </row>
    <row r="12" spans="1:7" ht="63.75" x14ac:dyDescent="0.25">
      <c r="A12" s="77">
        <v>9</v>
      </c>
      <c r="B12" s="172" t="s">
        <v>223</v>
      </c>
      <c r="C12" s="633">
        <f>[17]CONSOLIDADO!E244</f>
        <v>4</v>
      </c>
      <c r="D12" s="632">
        <f>[17]CONSOLIDADO!F244</f>
        <v>0.24</v>
      </c>
      <c r="E12" s="629">
        <f>[17]CONSOLIDADO!G244</f>
        <v>5385009507.7399998</v>
      </c>
      <c r="F12" s="630">
        <f>[17]CONSOLIDADO!H244</f>
        <v>2239208314.4099998</v>
      </c>
      <c r="G12" s="356">
        <f t="shared" si="0"/>
        <v>0.41582253683889203</v>
      </c>
    </row>
    <row r="13" spans="1:7" ht="76.5" x14ac:dyDescent="0.25">
      <c r="A13" s="77">
        <v>10</v>
      </c>
      <c r="B13" s="174" t="s">
        <v>224</v>
      </c>
      <c r="C13" s="628">
        <f>[17]CONSOLIDADO!E245</f>
        <v>1</v>
      </c>
      <c r="D13" s="632">
        <f>[17]CONSOLIDADO!F245</f>
        <v>0.63</v>
      </c>
      <c r="E13" s="629">
        <f>[17]CONSOLIDADO!G245</f>
        <v>1343000000</v>
      </c>
      <c r="F13" s="630">
        <f>[17]CONSOLIDADO!H245</f>
        <v>1341928581.8599999</v>
      </c>
      <c r="G13" s="356">
        <f t="shared" si="0"/>
        <v>0.99920222029784056</v>
      </c>
    </row>
    <row r="14" spans="1:7" ht="81.95" customHeight="1" x14ac:dyDescent="0.25">
      <c r="A14" s="77">
        <v>11</v>
      </c>
      <c r="B14" s="172" t="s">
        <v>225</v>
      </c>
      <c r="C14" s="633">
        <f>[17]CONSOLIDADO!E246</f>
        <v>1</v>
      </c>
      <c r="D14" s="632">
        <f>[17]CONSOLIDADO!F246</f>
        <v>0.5</v>
      </c>
      <c r="E14" s="629">
        <f>[17]CONSOLIDADO!G246</f>
        <v>103000000</v>
      </c>
      <c r="F14" s="630">
        <f>[17]CONSOLIDADO!H246</f>
        <v>34724199</v>
      </c>
      <c r="G14" s="356">
        <f t="shared" si="0"/>
        <v>0.33712814563106797</v>
      </c>
    </row>
    <row r="15" spans="1:7" ht="99.6" customHeight="1" x14ac:dyDescent="0.25">
      <c r="A15" s="77">
        <v>12</v>
      </c>
      <c r="B15" s="172" t="s">
        <v>226</v>
      </c>
      <c r="C15" s="633">
        <f>[17]CONSOLIDADO!E247</f>
        <v>1</v>
      </c>
      <c r="D15" s="632">
        <f>[17]CONSOLIDADO!F247</f>
        <v>0.5</v>
      </c>
      <c r="E15" s="629">
        <f>[17]CONSOLIDADO!G247</f>
        <v>488000000</v>
      </c>
      <c r="F15" s="630">
        <f>[17]CONSOLIDADO!H247</f>
        <v>4728768</v>
      </c>
      <c r="G15" s="356">
        <f t="shared" si="0"/>
        <v>9.6900983606557373E-3</v>
      </c>
    </row>
    <row r="16" spans="1:7" ht="76.5" x14ac:dyDescent="0.25">
      <c r="A16" s="77">
        <v>13</v>
      </c>
      <c r="B16" s="174" t="s">
        <v>227</v>
      </c>
      <c r="C16" s="634">
        <f>[17]CONSOLIDADO!E248</f>
        <v>1</v>
      </c>
      <c r="D16" s="632">
        <f>[17]CONSOLIDADO!F248</f>
        <v>0.83</v>
      </c>
      <c r="E16" s="635">
        <f>[17]CONSOLIDADO!G248</f>
        <v>143000000</v>
      </c>
      <c r="F16" s="630">
        <f>[17]CONSOLIDADO!H248</f>
        <v>134906616</v>
      </c>
      <c r="G16" s="356">
        <f t="shared" si="0"/>
        <v>0.94340290909090907</v>
      </c>
    </row>
    <row r="17" spans="1:12" ht="76.5" x14ac:dyDescent="0.25">
      <c r="A17" s="77">
        <v>14</v>
      </c>
      <c r="B17" s="172" t="s">
        <v>228</v>
      </c>
      <c r="C17" s="633">
        <f>[17]CONSOLIDADO!E249</f>
        <v>1</v>
      </c>
      <c r="D17" s="632">
        <f>[17]CONSOLIDADO!F249</f>
        <v>0.56000000000000005</v>
      </c>
      <c r="E17" s="629">
        <f>[17]CONSOLIDADO!G249</f>
        <v>961000000</v>
      </c>
      <c r="F17" s="630">
        <f>[17]CONSOLIDADO!H249</f>
        <v>704960575</v>
      </c>
      <c r="G17" s="356">
        <f t="shared" si="0"/>
        <v>0.73356979708636838</v>
      </c>
    </row>
    <row r="18" spans="1:12" ht="78.95" customHeight="1" x14ac:dyDescent="0.25">
      <c r="A18" s="77">
        <v>15</v>
      </c>
      <c r="B18" s="172" t="s">
        <v>229</v>
      </c>
      <c r="C18" s="633">
        <f>[17]CONSOLIDADO!E250</f>
        <v>1</v>
      </c>
      <c r="D18" s="632">
        <f>[17]CONSOLIDADO!F250</f>
        <v>0.5</v>
      </c>
      <c r="E18" s="629" t="str">
        <f>[17]CONSOLIDADO!G250</f>
        <v>Actividades de Gestión</v>
      </c>
      <c r="F18" s="630" t="str">
        <f>[17]CONSOLIDADO!H250</f>
        <v>Actividades de Gestión</v>
      </c>
      <c r="G18" s="630" t="str">
        <f>+F18</f>
        <v>Actividades de Gestión</v>
      </c>
    </row>
    <row r="19" spans="1:12" ht="63.75" x14ac:dyDescent="0.25">
      <c r="A19" s="77">
        <v>16</v>
      </c>
      <c r="B19" s="174" t="s">
        <v>230</v>
      </c>
      <c r="C19" s="633">
        <f>[17]CONSOLIDADO!E251</f>
        <v>2</v>
      </c>
      <c r="D19" s="632">
        <f>[17]CONSOLIDADO!F251</f>
        <v>0.75</v>
      </c>
      <c r="E19" s="629">
        <f>[17]CONSOLIDADO!G251</f>
        <v>1000000000</v>
      </c>
      <c r="F19" s="630">
        <f>[17]CONSOLIDADO!H251</f>
        <v>916498966.86000001</v>
      </c>
      <c r="G19" s="356">
        <f t="shared" si="0"/>
        <v>0.91649896685999999</v>
      </c>
    </row>
    <row r="20" spans="1:12" ht="63.75" x14ac:dyDescent="0.25">
      <c r="A20" s="77">
        <v>17</v>
      </c>
      <c r="B20" s="174" t="s">
        <v>231</v>
      </c>
      <c r="C20" s="633">
        <f>[17]CONSOLIDADO!E252</f>
        <v>2</v>
      </c>
      <c r="D20" s="632">
        <f>[17]CONSOLIDADO!F252</f>
        <v>0.49</v>
      </c>
      <c r="E20" s="629">
        <f>[17]CONSOLIDADO!G252</f>
        <v>1200000000</v>
      </c>
      <c r="F20" s="630">
        <f>[17]CONSOLIDADO!H252</f>
        <v>799485604.86000001</v>
      </c>
      <c r="G20" s="356">
        <f t="shared" si="0"/>
        <v>0.66623800405</v>
      </c>
    </row>
    <row r="21" spans="1:12" ht="63.75" x14ac:dyDescent="0.25">
      <c r="A21" s="77">
        <v>18</v>
      </c>
      <c r="B21" s="172" t="s">
        <v>232</v>
      </c>
      <c r="C21" s="633">
        <f>[17]CONSOLIDADO!E253</f>
        <v>1</v>
      </c>
      <c r="D21" s="632">
        <f>[17]CONSOLIDADO!F253</f>
        <v>0.75</v>
      </c>
      <c r="E21" s="629">
        <f>[17]CONSOLIDADO!G253</f>
        <v>493300000</v>
      </c>
      <c r="F21" s="630">
        <f>[17]CONSOLIDADO!H253</f>
        <v>228188700</v>
      </c>
      <c r="G21" s="356">
        <f t="shared" si="0"/>
        <v>0.46257591729170888</v>
      </c>
    </row>
    <row r="22" spans="1:12" ht="89.25" x14ac:dyDescent="0.25">
      <c r="A22" s="77">
        <v>19</v>
      </c>
      <c r="B22" s="172" t="s">
        <v>233</v>
      </c>
      <c r="C22" s="633">
        <f>[17]CONSOLIDADO!E254</f>
        <v>1</v>
      </c>
      <c r="D22" s="632">
        <f>[17]CONSOLIDADO!F254</f>
        <v>0.8</v>
      </c>
      <c r="E22" s="629">
        <f>[17]CONSOLIDADO!G254</f>
        <v>469000000</v>
      </c>
      <c r="F22" s="630">
        <f>[17]CONSOLIDADO!H254</f>
        <v>415768010</v>
      </c>
      <c r="G22" s="356">
        <f>F22/E22</f>
        <v>0.88649895522388056</v>
      </c>
    </row>
    <row r="23" spans="1:12" ht="89.25" x14ac:dyDescent="0.25">
      <c r="A23" s="77">
        <v>20</v>
      </c>
      <c r="B23" s="172" t="s">
        <v>234</v>
      </c>
      <c r="C23" s="636">
        <f>[17]CONSOLIDADO!E255</f>
        <v>1</v>
      </c>
      <c r="D23" s="632">
        <f>[17]CONSOLIDADO!F255</f>
        <v>0.5</v>
      </c>
      <c r="E23" s="637" t="str">
        <f>[17]CONSOLIDADO!G255</f>
        <v xml:space="preserve">Actividades de Gestión </v>
      </c>
      <c r="F23" s="630" t="str">
        <f>[17]CONSOLIDADO!H255</f>
        <v xml:space="preserve">Actividades de Gestión </v>
      </c>
      <c r="G23" s="630" t="str">
        <f>+F23</f>
        <v xml:space="preserve">Actividades de Gestión </v>
      </c>
      <c r="J23" s="19"/>
      <c r="K23" s="73"/>
      <c r="L23" s="50"/>
    </row>
    <row r="24" spans="1:12" ht="76.5" x14ac:dyDescent="0.25">
      <c r="A24" s="77">
        <v>21</v>
      </c>
      <c r="B24" s="172" t="s">
        <v>235</v>
      </c>
      <c r="C24" s="636">
        <f>[17]CONSOLIDADO!E256</f>
        <v>1</v>
      </c>
      <c r="D24" s="632">
        <f>[17]CONSOLIDADO!F256</f>
        <v>0</v>
      </c>
      <c r="E24" s="637" t="str">
        <f>[17]CONSOLIDADO!G256</f>
        <v xml:space="preserve">Actividades de Gestión </v>
      </c>
      <c r="F24" s="630" t="str">
        <f>[17]CONSOLIDADO!H256</f>
        <v xml:space="preserve">Actividades de Gestión </v>
      </c>
      <c r="G24" s="637" t="s">
        <v>181</v>
      </c>
    </row>
    <row r="25" spans="1:12" ht="76.5" x14ac:dyDescent="0.25">
      <c r="A25" s="77">
        <v>22</v>
      </c>
      <c r="B25" s="174" t="s">
        <v>236</v>
      </c>
      <c r="C25" s="636">
        <f>[17]CONSOLIDADO!E257</f>
        <v>2</v>
      </c>
      <c r="D25" s="632">
        <f>[17]CONSOLIDADO!F257</f>
        <v>0</v>
      </c>
      <c r="E25" s="637">
        <f>[17]CONSOLIDADO!G257</f>
        <v>94540351</v>
      </c>
      <c r="F25" s="630">
        <f>[17]CONSOLIDADO!H257</f>
        <v>0</v>
      </c>
      <c r="G25" s="356">
        <f t="shared" si="0"/>
        <v>0</v>
      </c>
    </row>
    <row r="26" spans="1:12" ht="51" x14ac:dyDescent="0.25">
      <c r="A26" s="77">
        <v>23</v>
      </c>
      <c r="B26" s="172" t="s">
        <v>237</v>
      </c>
      <c r="C26" s="636">
        <f>[17]CONSOLIDADO!E258</f>
        <v>1</v>
      </c>
      <c r="D26" s="632">
        <f>[17]CONSOLIDADO!F258</f>
        <v>0.75</v>
      </c>
      <c r="E26" s="637" t="str">
        <f>[17]CONSOLIDADO!G258</f>
        <v xml:space="preserve">Actividades de Gestión </v>
      </c>
      <c r="F26" s="637" t="str">
        <f>[17]CONSOLIDADO!H258</f>
        <v xml:space="preserve">Actividades de Gestión </v>
      </c>
      <c r="G26" s="637" t="s">
        <v>181</v>
      </c>
    </row>
    <row r="27" spans="1:12" ht="51" x14ac:dyDescent="0.25">
      <c r="A27" s="77">
        <v>24</v>
      </c>
      <c r="B27" s="174" t="s">
        <v>238</v>
      </c>
      <c r="C27" s="636">
        <f>[17]CONSOLIDADO!E259</f>
        <v>5</v>
      </c>
      <c r="D27" s="632">
        <f>[17]CONSOLIDADO!F259</f>
        <v>0.76</v>
      </c>
      <c r="E27" s="629">
        <f>[17]CONSOLIDADO!G259</f>
        <v>207746080</v>
      </c>
      <c r="F27" s="630">
        <f>[17]CONSOLIDADO!H259</f>
        <v>97136100</v>
      </c>
      <c r="G27" s="356">
        <f t="shared" si="0"/>
        <v>0.46757127739786958</v>
      </c>
    </row>
    <row r="28" spans="1:12" ht="51" x14ac:dyDescent="0.25">
      <c r="A28" s="77">
        <v>25</v>
      </c>
      <c r="B28" s="172" t="s">
        <v>239</v>
      </c>
      <c r="C28" s="636">
        <f>[17]CONSOLIDADO!E260</f>
        <v>1</v>
      </c>
      <c r="D28" s="632">
        <f>[17]CONSOLIDADO!F260</f>
        <v>0.57999999999999996</v>
      </c>
      <c r="E28" s="629">
        <f>[17]CONSOLIDADO!G260</f>
        <v>25423552</v>
      </c>
      <c r="F28" s="630">
        <f>[17]CONSOLIDADO!H260</f>
        <v>23200000</v>
      </c>
      <c r="G28" s="356">
        <f t="shared" si="0"/>
        <v>0.91253967974262606</v>
      </c>
    </row>
    <row r="29" spans="1:12" ht="51" x14ac:dyDescent="0.25">
      <c r="A29" s="77">
        <v>26</v>
      </c>
      <c r="B29" s="172" t="s">
        <v>240</v>
      </c>
      <c r="C29" s="633">
        <f>[17]CONSOLIDADO!E261</f>
        <v>1</v>
      </c>
      <c r="D29" s="632">
        <f>[17]CONSOLIDADO!F261</f>
        <v>0.75</v>
      </c>
      <c r="E29" s="629" t="str">
        <f>[17]CONSOLIDADO!G261</f>
        <v xml:space="preserve">Actividades de Gestión </v>
      </c>
      <c r="F29" s="630" t="str">
        <f>[17]CONSOLIDADO!H261</f>
        <v xml:space="preserve">Actividades de Gestión </v>
      </c>
      <c r="G29" s="637" t="s">
        <v>181</v>
      </c>
    </row>
    <row r="30" spans="1:12" s="61" customFormat="1" ht="74.099999999999994" customHeight="1" x14ac:dyDescent="0.25">
      <c r="A30" s="77">
        <v>27</v>
      </c>
      <c r="B30" s="172" t="s">
        <v>241</v>
      </c>
      <c r="C30" s="636">
        <f>[17]CONSOLIDADO!E262</f>
        <v>1</v>
      </c>
      <c r="D30" s="632">
        <f>[17]CONSOLIDADO!F262</f>
        <v>0.94</v>
      </c>
      <c r="E30" s="629">
        <f>[17]CONSOLIDADO!G262</f>
        <v>6355888</v>
      </c>
      <c r="F30" s="630">
        <f>[17]CONSOLIDADO!H262</f>
        <v>5800000</v>
      </c>
      <c r="G30" s="356">
        <f t="shared" si="0"/>
        <v>0.91253967974262606</v>
      </c>
    </row>
    <row r="31" spans="1:12" ht="51" x14ac:dyDescent="0.25">
      <c r="A31" s="77">
        <v>28</v>
      </c>
      <c r="B31" s="172" t="s">
        <v>242</v>
      </c>
      <c r="C31" s="636">
        <f>[17]CONSOLIDADO!E263</f>
        <v>1</v>
      </c>
      <c r="D31" s="632">
        <f>[17]CONSOLIDADO!F263</f>
        <v>0.74</v>
      </c>
      <c r="E31" s="629">
        <f>[17]CONSOLIDADO!G263</f>
        <v>234935382</v>
      </c>
      <c r="F31" s="630">
        <f>[17]CONSOLIDADO!H263</f>
        <v>176765700</v>
      </c>
      <c r="G31" s="356">
        <f t="shared" si="0"/>
        <v>0.75240135604606373</v>
      </c>
    </row>
    <row r="32" spans="1:12" ht="51" x14ac:dyDescent="0.25">
      <c r="A32" s="77">
        <v>29</v>
      </c>
      <c r="B32" s="174" t="s">
        <v>243</v>
      </c>
      <c r="C32" s="636">
        <f>[17]CONSOLIDADO!E264</f>
        <v>3</v>
      </c>
      <c r="D32" s="632">
        <f>[17]CONSOLIDADO!F264</f>
        <v>0.43</v>
      </c>
      <c r="E32" s="629">
        <f>[17]CONSOLIDADO!G264</f>
        <v>765549633</v>
      </c>
      <c r="F32" s="630">
        <f>[17]CONSOLIDADO!H264</f>
        <v>446972530</v>
      </c>
      <c r="G32" s="356">
        <f t="shared" si="0"/>
        <v>0.58385832966626217</v>
      </c>
    </row>
    <row r="33" spans="1:7" ht="51" x14ac:dyDescent="0.25">
      <c r="A33" s="77">
        <v>30</v>
      </c>
      <c r="B33" s="174" t="s">
        <v>244</v>
      </c>
      <c r="C33" s="633">
        <f>[17]CONSOLIDADO!E265</f>
        <v>14</v>
      </c>
      <c r="D33" s="632">
        <f>[17]CONSOLIDADO!F265</f>
        <v>0.57999999999999996</v>
      </c>
      <c r="E33" s="629">
        <f>[17]CONSOLIDADO!G265</f>
        <v>1732182967</v>
      </c>
      <c r="F33" s="630">
        <f>[17]CONSOLIDADO!H265</f>
        <v>1467202375</v>
      </c>
      <c r="G33" s="356">
        <f t="shared" si="0"/>
        <v>0.84702505621624669</v>
      </c>
    </row>
    <row r="34" spans="1:7" ht="76.5" x14ac:dyDescent="0.25">
      <c r="A34" s="77">
        <v>31</v>
      </c>
      <c r="B34" s="172" t="s">
        <v>245</v>
      </c>
      <c r="C34" s="638">
        <f>[17]CONSOLIDADO!E266</f>
        <v>1</v>
      </c>
      <c r="D34" s="632">
        <f>[17]CONSOLIDADO!F266</f>
        <v>0.5</v>
      </c>
      <c r="E34" s="629" t="str">
        <f>[17]CONSOLIDADO!G266</f>
        <v>Actividades de Gestión</v>
      </c>
      <c r="F34" s="630" t="str">
        <f>[17]CONSOLIDADO!H266</f>
        <v>Actividades de Gestión</v>
      </c>
      <c r="G34" s="637" t="s">
        <v>181</v>
      </c>
    </row>
    <row r="35" spans="1:7" ht="63.75" x14ac:dyDescent="0.25">
      <c r="A35" s="77">
        <v>32</v>
      </c>
      <c r="B35" s="174" t="s">
        <v>246</v>
      </c>
      <c r="C35" s="636">
        <f>[17]CONSOLIDADO!E267</f>
        <v>4</v>
      </c>
      <c r="D35" s="632">
        <f>[17]CONSOLIDADO!F267</f>
        <v>0.52</v>
      </c>
      <c r="E35" s="637">
        <f>[17]CONSOLIDADO!G267</f>
        <v>246800000</v>
      </c>
      <c r="F35" s="630">
        <f>[17]CONSOLIDADO!H267</f>
        <v>47341878</v>
      </c>
      <c r="G35" s="356">
        <f t="shared" si="0"/>
        <v>0.19182284440842787</v>
      </c>
    </row>
    <row r="36" spans="1:7" ht="63.75" x14ac:dyDescent="0.25">
      <c r="A36" s="77">
        <v>33</v>
      </c>
      <c r="B36" s="174" t="s">
        <v>247</v>
      </c>
      <c r="C36" s="636">
        <f>[17]CONSOLIDADO!E268</f>
        <v>3</v>
      </c>
      <c r="D36" s="632">
        <f>[17]CONSOLIDADO!F268</f>
        <v>0.87</v>
      </c>
      <c r="E36" s="629">
        <f>[17]CONSOLIDADO!G268</f>
        <v>599270579</v>
      </c>
      <c r="F36" s="630">
        <f>[17]CONSOLIDADO!H268</f>
        <v>587918381.00999999</v>
      </c>
      <c r="G36" s="356">
        <f t="shared" si="0"/>
        <v>0.98105664054300257</v>
      </c>
    </row>
    <row r="37" spans="1:7" ht="76.5" x14ac:dyDescent="0.25">
      <c r="A37" s="77">
        <v>34</v>
      </c>
      <c r="B37" s="174" t="s">
        <v>248</v>
      </c>
      <c r="C37" s="636">
        <f>[17]CONSOLIDADO!E269</f>
        <v>4</v>
      </c>
      <c r="D37" s="632">
        <f>[17]CONSOLIDADO!F269</f>
        <v>0.69</v>
      </c>
      <c r="E37" s="629">
        <f>[17]CONSOLIDADO!G269</f>
        <v>962203644</v>
      </c>
      <c r="F37" s="630">
        <f>[17]CONSOLIDADO!H269</f>
        <v>955835503.12</v>
      </c>
      <c r="G37" s="356">
        <f t="shared" si="0"/>
        <v>0.99338171194870262</v>
      </c>
    </row>
    <row r="38" spans="1:7" ht="51" x14ac:dyDescent="0.25">
      <c r="A38" s="77">
        <v>35</v>
      </c>
      <c r="B38" s="174" t="s">
        <v>249</v>
      </c>
      <c r="C38" s="636">
        <f>[17]CONSOLIDADO!E270</f>
        <v>2</v>
      </c>
      <c r="D38" s="632">
        <f>[17]CONSOLIDADO!F270</f>
        <v>1</v>
      </c>
      <c r="E38" s="629">
        <f>[17]CONSOLIDADO!G270</f>
        <v>120000000</v>
      </c>
      <c r="F38" s="630">
        <f>[17]CONSOLIDADO!H270</f>
        <v>120000000</v>
      </c>
      <c r="G38" s="356">
        <f t="shared" si="0"/>
        <v>1</v>
      </c>
    </row>
    <row r="39" spans="1:7" ht="51" x14ac:dyDescent="0.25">
      <c r="A39" s="77">
        <v>36</v>
      </c>
      <c r="B39" s="174" t="s">
        <v>250</v>
      </c>
      <c r="C39" s="633">
        <f>[17]CONSOLIDADO!E271</f>
        <v>7</v>
      </c>
      <c r="D39" s="632">
        <f>[17]CONSOLIDADO!F271</f>
        <v>0.63</v>
      </c>
      <c r="E39" s="629" t="str">
        <f>[17]CONSOLIDADO!G271</f>
        <v>Actividades de Gestión</v>
      </c>
      <c r="F39" s="630" t="str">
        <f>[17]CONSOLIDADO!H271</f>
        <v>Actividades de Gestión</v>
      </c>
      <c r="G39" s="637" t="s">
        <v>181</v>
      </c>
    </row>
    <row r="40" spans="1:7" ht="51" x14ac:dyDescent="0.25">
      <c r="A40" s="77">
        <v>37</v>
      </c>
      <c r="B40" s="174" t="s">
        <v>251</v>
      </c>
      <c r="C40" s="633">
        <f>[17]CONSOLIDADO!E272</f>
        <v>3</v>
      </c>
      <c r="D40" s="632">
        <f>[17]CONSOLIDADO!F272</f>
        <v>0.75</v>
      </c>
      <c r="E40" s="629" t="str">
        <f>[17]CONSOLIDADO!G272</f>
        <v xml:space="preserve">Actividades de Gestión </v>
      </c>
      <c r="F40" s="630" t="str">
        <f>[17]CONSOLIDADO!H272</f>
        <v xml:space="preserve">Actividades de Gestión </v>
      </c>
      <c r="G40" s="637" t="s">
        <v>181</v>
      </c>
    </row>
    <row r="41" spans="1:7" ht="63.75" x14ac:dyDescent="0.25">
      <c r="A41" s="77">
        <v>38</v>
      </c>
      <c r="B41" s="172" t="s">
        <v>252</v>
      </c>
      <c r="C41" s="633">
        <f>[17]CONSOLIDADO!E273</f>
        <v>1</v>
      </c>
      <c r="D41" s="632">
        <f>[17]CONSOLIDADO!F273</f>
        <v>0.87</v>
      </c>
      <c r="E41" s="629">
        <f>[17]CONSOLIDADO!G273</f>
        <v>35000000</v>
      </c>
      <c r="F41" s="630">
        <f>[17]CONSOLIDADO!H273</f>
        <v>19938300</v>
      </c>
      <c r="G41" s="356">
        <f t="shared" si="0"/>
        <v>0.56966571428571433</v>
      </c>
    </row>
    <row r="42" spans="1:7" ht="51" x14ac:dyDescent="0.25">
      <c r="A42" s="77">
        <v>39</v>
      </c>
      <c r="B42" s="174" t="s">
        <v>253</v>
      </c>
      <c r="C42" s="628">
        <f>[17]CONSOLIDADO!E274</f>
        <v>2</v>
      </c>
      <c r="D42" s="632">
        <f>[17]CONSOLIDADO!F274</f>
        <v>0.38</v>
      </c>
      <c r="E42" s="629">
        <f>[17]CONSOLIDADO!G274</f>
        <v>35000000</v>
      </c>
      <c r="F42" s="630">
        <f>[17]CONSOLIDADO!H274</f>
        <v>19938300</v>
      </c>
      <c r="G42" s="356">
        <f t="shared" si="0"/>
        <v>0.56966571428571433</v>
      </c>
    </row>
    <row r="43" spans="1:7" ht="51" x14ac:dyDescent="0.25">
      <c r="A43" s="77">
        <v>40</v>
      </c>
      <c r="B43" s="174" t="s">
        <v>254</v>
      </c>
      <c r="C43" s="633">
        <f>[17]CONSOLIDADO!E275</f>
        <v>2</v>
      </c>
      <c r="D43" s="632">
        <f>[17]CONSOLIDADO!F275</f>
        <v>0.5</v>
      </c>
      <c r="E43" s="629">
        <f>[17]CONSOLIDADO!G275</f>
        <v>230000000</v>
      </c>
      <c r="F43" s="630">
        <f>[17]CONSOLIDADO!H275</f>
        <v>149311300</v>
      </c>
      <c r="G43" s="356">
        <f t="shared" si="0"/>
        <v>0.64917956521739129</v>
      </c>
    </row>
    <row r="44" spans="1:7" ht="63.75" x14ac:dyDescent="0.25">
      <c r="A44" s="77">
        <v>41</v>
      </c>
      <c r="B44" s="174" t="s">
        <v>255</v>
      </c>
      <c r="C44" s="633">
        <f>[17]CONSOLIDADO!E276</f>
        <v>2</v>
      </c>
      <c r="D44" s="632">
        <f>[17]CONSOLIDADO!F276</f>
        <v>0.5</v>
      </c>
      <c r="E44" s="629">
        <f>[17]CONSOLIDADO!G276</f>
        <v>70000000</v>
      </c>
      <c r="F44" s="630">
        <f>[17]CONSOLIDADO!H276</f>
        <v>22709904</v>
      </c>
      <c r="G44" s="356">
        <f t="shared" si="0"/>
        <v>0.32442720000000003</v>
      </c>
    </row>
    <row r="45" spans="1:7" ht="63.75" x14ac:dyDescent="0.25">
      <c r="A45" s="77">
        <v>42</v>
      </c>
      <c r="B45" s="172" t="s">
        <v>256</v>
      </c>
      <c r="C45" s="633">
        <f>[17]CONSOLIDADO!E277</f>
        <v>1</v>
      </c>
      <c r="D45" s="632">
        <f>[17]CONSOLIDADO!F277</f>
        <v>0</v>
      </c>
      <c r="E45" s="629">
        <f>[17]CONSOLIDADO!G277</f>
        <v>70000000</v>
      </c>
      <c r="F45" s="630">
        <f>[17]CONSOLIDADO!H277</f>
        <v>0</v>
      </c>
      <c r="G45" s="356">
        <f t="shared" si="0"/>
        <v>0</v>
      </c>
    </row>
    <row r="46" spans="1:7" ht="51" x14ac:dyDescent="0.25">
      <c r="A46" s="77">
        <v>43</v>
      </c>
      <c r="B46" s="174" t="s">
        <v>257</v>
      </c>
      <c r="C46" s="633">
        <f>[17]CONSOLIDADO!E278</f>
        <v>3</v>
      </c>
      <c r="D46" s="632">
        <f>[17]CONSOLIDADO!F278</f>
        <v>0.82</v>
      </c>
      <c r="E46" s="629" t="str">
        <f>[17]CONSOLIDADO!G278</f>
        <v xml:space="preserve">Actividades de Gestión </v>
      </c>
      <c r="F46" s="629" t="str">
        <f>[17]CONSOLIDADO!H278</f>
        <v xml:space="preserve">Actividades de Gestión </v>
      </c>
      <c r="G46" s="637" t="s">
        <v>181</v>
      </c>
    </row>
    <row r="47" spans="1:7" ht="63.75" x14ac:dyDescent="0.25">
      <c r="A47" s="77">
        <v>44</v>
      </c>
      <c r="B47" s="172" t="s">
        <v>258</v>
      </c>
      <c r="C47" s="633">
        <f>[17]CONSOLIDADO!E279</f>
        <v>1</v>
      </c>
      <c r="D47" s="632">
        <f>[17]CONSOLIDADO!F279</f>
        <v>0.83</v>
      </c>
      <c r="E47" s="629" t="str">
        <f>[17]CONSOLIDADO!G279</f>
        <v xml:space="preserve">Actividades de Gestión </v>
      </c>
      <c r="F47" s="629" t="str">
        <f>[17]CONSOLIDADO!H279</f>
        <v xml:space="preserve">Actividades de Gestión </v>
      </c>
      <c r="G47" s="637" t="s">
        <v>181</v>
      </c>
    </row>
    <row r="48" spans="1:7" ht="74.099999999999994" customHeight="1" x14ac:dyDescent="0.25">
      <c r="A48" s="77">
        <v>45</v>
      </c>
      <c r="B48" s="172" t="s">
        <v>259</v>
      </c>
      <c r="C48" s="633">
        <f>[17]CONSOLIDADO!E280</f>
        <v>1</v>
      </c>
      <c r="D48" s="632">
        <f>[17]CONSOLIDADO!F280</f>
        <v>0.83</v>
      </c>
      <c r="E48" s="629" t="str">
        <f>[17]CONSOLIDADO!G280</f>
        <v xml:space="preserve">Actividades de Gestión </v>
      </c>
      <c r="F48" s="629" t="str">
        <f>[17]CONSOLIDADO!H280</f>
        <v xml:space="preserve">Actividades de Gestión </v>
      </c>
      <c r="G48" s="637" t="s">
        <v>181</v>
      </c>
    </row>
    <row r="49" spans="1:7" ht="51" x14ac:dyDescent="0.25">
      <c r="A49" s="77">
        <v>46</v>
      </c>
      <c r="B49" s="172" t="s">
        <v>260</v>
      </c>
      <c r="C49" s="633">
        <f>[17]CONSOLIDADO!E281</f>
        <v>1</v>
      </c>
      <c r="D49" s="632">
        <f>[17]CONSOLIDADO!F281</f>
        <v>0.72</v>
      </c>
      <c r="E49" s="629" t="str">
        <f>[17]CONSOLIDADO!G281</f>
        <v xml:space="preserve">Actividades de Gestión </v>
      </c>
      <c r="F49" s="629" t="str">
        <f>[17]CONSOLIDADO!H281</f>
        <v xml:space="preserve">Actividades de Gestión </v>
      </c>
      <c r="G49" s="629" t="s">
        <v>181</v>
      </c>
    </row>
    <row r="50" spans="1:7" ht="51" x14ac:dyDescent="0.25">
      <c r="A50" s="77">
        <v>47</v>
      </c>
      <c r="B50" s="174" t="s">
        <v>261</v>
      </c>
      <c r="C50" s="633">
        <f>[17]CONSOLIDADO!E282</f>
        <v>6</v>
      </c>
      <c r="D50" s="632">
        <f>[17]CONSOLIDADO!F282</f>
        <v>0.76</v>
      </c>
      <c r="E50" s="629" t="str">
        <f>[17]CONSOLIDADO!G282</f>
        <v xml:space="preserve">Actividades de Gestión </v>
      </c>
      <c r="F50" s="629" t="str">
        <f>[17]CONSOLIDADO!H282</f>
        <v xml:space="preserve">Actividades de Gestión </v>
      </c>
      <c r="G50" s="629" t="s">
        <v>181</v>
      </c>
    </row>
    <row r="51" spans="1:7" ht="76.5" x14ac:dyDescent="0.25">
      <c r="A51" s="77">
        <v>48</v>
      </c>
      <c r="B51" s="172" t="s">
        <v>262</v>
      </c>
      <c r="C51" s="639">
        <f>[17]CONSOLIDADO!E283</f>
        <v>1</v>
      </c>
      <c r="D51" s="632">
        <f>[17]CONSOLIDADO!F283</f>
        <v>0.76</v>
      </c>
      <c r="E51" s="629" t="str">
        <f>[17]CONSOLIDADO!G283</f>
        <v xml:space="preserve">Actividades de Gestión </v>
      </c>
      <c r="F51" s="629" t="str">
        <f>[17]CONSOLIDADO!H283</f>
        <v xml:space="preserve">Actividades de Gestión </v>
      </c>
      <c r="G51" s="629" t="s">
        <v>181</v>
      </c>
    </row>
    <row r="52" spans="1:7" ht="51" x14ac:dyDescent="0.25">
      <c r="A52" s="77">
        <v>49</v>
      </c>
      <c r="B52" s="174" t="s">
        <v>263</v>
      </c>
      <c r="C52" s="633">
        <f>[17]CONSOLIDADO!E284</f>
        <v>10</v>
      </c>
      <c r="D52" s="632">
        <f>[17]CONSOLIDADO!F284</f>
        <v>0.57999999999999996</v>
      </c>
      <c r="E52" s="629">
        <f>[17]CONSOLIDADO!G284</f>
        <v>190000000</v>
      </c>
      <c r="F52" s="630">
        <f>[17]CONSOLIDADO!H284</f>
        <v>66621000</v>
      </c>
      <c r="G52" s="356">
        <f t="shared" si="0"/>
        <v>0.35063684210526314</v>
      </c>
    </row>
    <row r="53" spans="1:7" ht="51" x14ac:dyDescent="0.25">
      <c r="A53" s="77">
        <v>50</v>
      </c>
      <c r="B53" s="174" t="s">
        <v>264</v>
      </c>
      <c r="C53" s="631">
        <f>[17]CONSOLIDADO!E285</f>
        <v>5</v>
      </c>
      <c r="D53" s="632">
        <f>[17]CONSOLIDADO!F285</f>
        <v>0.65</v>
      </c>
      <c r="E53" s="629">
        <f>[17]CONSOLIDADO!G285</f>
        <v>30000000</v>
      </c>
      <c r="F53" s="630">
        <f>[17]CONSOLIDADO!H285</f>
        <v>16792300</v>
      </c>
      <c r="G53" s="356">
        <f t="shared" si="0"/>
        <v>0.55974333333333337</v>
      </c>
    </row>
    <row r="54" spans="1:7" ht="74.099999999999994" customHeight="1" x14ac:dyDescent="0.25">
      <c r="A54" s="77">
        <v>51</v>
      </c>
      <c r="B54" s="174" t="s">
        <v>265</v>
      </c>
      <c r="C54" s="640">
        <f>[17]CONSOLIDADO!E286</f>
        <v>3</v>
      </c>
      <c r="D54" s="632">
        <f>[17]CONSOLIDADO!F286</f>
        <v>0.33</v>
      </c>
      <c r="E54" s="629">
        <f>[17]CONSOLIDADO!G286</f>
        <v>120000000</v>
      </c>
      <c r="F54" s="630">
        <f>[17]CONSOLIDADO!H286</f>
        <v>68875888</v>
      </c>
      <c r="G54" s="356">
        <f t="shared" si="0"/>
        <v>0.57396573333333334</v>
      </c>
    </row>
    <row r="55" spans="1:7" ht="51" x14ac:dyDescent="0.25">
      <c r="A55" s="77">
        <v>52</v>
      </c>
      <c r="B55" s="174" t="s">
        <v>266</v>
      </c>
      <c r="C55" s="631">
        <f>[17]CONSOLIDADO!E287</f>
        <v>4</v>
      </c>
      <c r="D55" s="632">
        <f>[17]CONSOLIDADO!F287</f>
        <v>0.62</v>
      </c>
      <c r="E55" s="629">
        <f>[17]CONSOLIDADO!G287</f>
        <v>400000000</v>
      </c>
      <c r="F55" s="630">
        <f>[17]CONSOLIDADO!H287</f>
        <v>301393233</v>
      </c>
      <c r="G55" s="356">
        <f t="shared" si="0"/>
        <v>0.75348308249999996</v>
      </c>
    </row>
    <row r="56" spans="1:7" ht="51" x14ac:dyDescent="0.25">
      <c r="A56" s="77">
        <v>53</v>
      </c>
      <c r="B56" s="172" t="s">
        <v>267</v>
      </c>
      <c r="C56" s="631">
        <f>[17]CONSOLIDADO!E288</f>
        <v>1</v>
      </c>
      <c r="D56" s="632">
        <f>[17]CONSOLIDADO!F288</f>
        <v>0.75</v>
      </c>
      <c r="E56" s="629">
        <f>[17]CONSOLIDADO!G288</f>
        <v>50000000</v>
      </c>
      <c r="F56" s="630">
        <f>[17]CONSOLIDADO!H288</f>
        <v>26304757</v>
      </c>
      <c r="G56" s="356">
        <f t="shared" si="0"/>
        <v>0.52609514000000002</v>
      </c>
    </row>
    <row r="57" spans="1:7" ht="60" customHeight="1" x14ac:dyDescent="0.25">
      <c r="A57" s="77">
        <v>54</v>
      </c>
      <c r="B57" s="174" t="s">
        <v>268</v>
      </c>
      <c r="C57" s="641">
        <f>[17]CONSOLIDADO!E289</f>
        <v>4</v>
      </c>
      <c r="D57" s="632">
        <f>[17]CONSOLIDADO!F289</f>
        <v>0.63</v>
      </c>
      <c r="E57" s="629">
        <f>[17]CONSOLIDADO!G289</f>
        <v>962768396.83000004</v>
      </c>
      <c r="F57" s="630">
        <f>[17]CONSOLIDADO!H289</f>
        <v>431552442.68000001</v>
      </c>
      <c r="G57" s="356">
        <f t="shared" si="0"/>
        <v>0.44824118043438538</v>
      </c>
    </row>
    <row r="58" spans="1:7" ht="63.75" x14ac:dyDescent="0.25">
      <c r="A58" s="77">
        <v>55</v>
      </c>
      <c r="B58" s="172" t="s">
        <v>269</v>
      </c>
      <c r="C58" s="631">
        <f>[17]CONSOLIDADO!E290</f>
        <v>1</v>
      </c>
      <c r="D58" s="632">
        <f>[17]CONSOLIDADO!F290</f>
        <v>0.39</v>
      </c>
      <c r="E58" s="629">
        <f>[17]CONSOLIDADO!G290</f>
        <v>1050000000</v>
      </c>
      <c r="F58" s="630">
        <f>[17]CONSOLIDADO!H290</f>
        <v>227312442</v>
      </c>
      <c r="G58" s="356">
        <f t="shared" si="0"/>
        <v>0.21648803999999999</v>
      </c>
    </row>
    <row r="59" spans="1:7" ht="51" x14ac:dyDescent="0.25">
      <c r="A59" s="77">
        <v>56</v>
      </c>
      <c r="B59" s="174" t="s">
        <v>270</v>
      </c>
      <c r="C59" s="633">
        <f>[17]CONSOLIDADO!E291</f>
        <v>2</v>
      </c>
      <c r="D59" s="632">
        <f>[17]CONSOLIDADO!F291</f>
        <v>0.75</v>
      </c>
      <c r="E59" s="629" t="str">
        <f>[17]CONSOLIDADO!G291</f>
        <v xml:space="preserve">Actividades de Gestión </v>
      </c>
      <c r="F59" s="630" t="str">
        <f>[17]CONSOLIDADO!H291</f>
        <v xml:space="preserve">Actividades de Gestión </v>
      </c>
      <c r="G59" s="630" t="str">
        <f>+F59</f>
        <v xml:space="preserve">Actividades de Gestión </v>
      </c>
    </row>
    <row r="60" spans="1:7" ht="51.75" thickBot="1" x14ac:dyDescent="0.3">
      <c r="A60" s="77">
        <v>57</v>
      </c>
      <c r="B60" s="173" t="s">
        <v>271</v>
      </c>
      <c r="C60" s="642">
        <f>[17]CONSOLIDADO!E292</f>
        <v>1</v>
      </c>
      <c r="D60" s="643">
        <f>[17]CONSOLIDADO!F292</f>
        <v>0.4</v>
      </c>
      <c r="E60" s="644" t="str">
        <f>[17]CONSOLIDADO!G292</f>
        <v xml:space="preserve">Actividades de Gestión </v>
      </c>
      <c r="F60" s="645" t="str">
        <f>[17]CONSOLIDADO!H292</f>
        <v xml:space="preserve">Actividades de Gestión </v>
      </c>
      <c r="G60" s="645" t="str">
        <f>+F60</f>
        <v xml:space="preserve">Actividades de Gestión </v>
      </c>
    </row>
    <row r="61" spans="1:7" ht="23.25" customHeight="1" thickBot="1" x14ac:dyDescent="0.3">
      <c r="B61" s="178" t="s">
        <v>0</v>
      </c>
      <c r="C61" s="646">
        <f>SUM(C4:C60)</f>
        <v>137</v>
      </c>
      <c r="D61" s="597">
        <f>SUM(D4:D60)/57</f>
        <v>0.59695313013851792</v>
      </c>
      <c r="E61" s="647">
        <f>SUM(E4:E60)</f>
        <v>30381253644.290001</v>
      </c>
      <c r="F61" s="647">
        <f>SUM(F4:F60)</f>
        <v>17119167024.470003</v>
      </c>
      <c r="G61" s="648">
        <f>F61/E61</f>
        <v>0.56347796654162963</v>
      </c>
    </row>
    <row r="62" spans="1:7" hidden="1" x14ac:dyDescent="0.25">
      <c r="B62" s="25"/>
      <c r="C62" s="206"/>
      <c r="D62" s="207">
        <v>1</v>
      </c>
      <c r="E62" s="208"/>
      <c r="F62" s="208"/>
      <c r="G62" s="207">
        <v>1</v>
      </c>
    </row>
    <row r="63" spans="1:7" hidden="1" x14ac:dyDescent="0.25">
      <c r="B63" s="209"/>
      <c r="C63" s="209"/>
      <c r="D63" s="207">
        <v>0</v>
      </c>
      <c r="E63" s="209"/>
      <c r="F63" s="210"/>
      <c r="G63" s="207">
        <v>0</v>
      </c>
    </row>
    <row r="64" spans="1:7" ht="15.75" thickBot="1" x14ac:dyDescent="0.3">
      <c r="B64" s="59"/>
      <c r="C64" s="59"/>
      <c r="D64" s="59"/>
      <c r="E64" s="9"/>
      <c r="F64" s="9"/>
      <c r="G64" s="1"/>
    </row>
    <row r="65" spans="2:8" ht="15.75" thickBot="1" x14ac:dyDescent="0.3">
      <c r="B65" s="59"/>
      <c r="C65" s="59"/>
      <c r="D65" s="59"/>
      <c r="E65" s="773" t="s">
        <v>16</v>
      </c>
      <c r="F65" s="774"/>
      <c r="G65" s="775"/>
    </row>
    <row r="66" spans="2:8" ht="15.75" thickBot="1" x14ac:dyDescent="0.3">
      <c r="B66" s="59"/>
      <c r="C66" s="59"/>
      <c r="D66" s="59"/>
      <c r="E66" s="649" t="s">
        <v>13</v>
      </c>
      <c r="F66" s="650" t="s">
        <v>14</v>
      </c>
      <c r="G66" s="651" t="s">
        <v>15</v>
      </c>
    </row>
    <row r="67" spans="2:8" x14ac:dyDescent="0.25">
      <c r="B67" s="59"/>
      <c r="C67" s="59"/>
      <c r="D67" s="59"/>
      <c r="E67" s="652" t="s">
        <v>326</v>
      </c>
      <c r="F67" s="653">
        <v>42</v>
      </c>
      <c r="G67" s="654">
        <f>F67/F70</f>
        <v>0.30656934306569344</v>
      </c>
    </row>
    <row r="68" spans="2:8" x14ac:dyDescent="0.25">
      <c r="B68" s="59"/>
      <c r="C68" s="59"/>
      <c r="D68" s="59"/>
      <c r="E68" s="655" t="s">
        <v>325</v>
      </c>
      <c r="F68" s="656">
        <v>46</v>
      </c>
      <c r="G68" s="654">
        <f>F68/F70</f>
        <v>0.33576642335766421</v>
      </c>
    </row>
    <row r="69" spans="2:8" ht="15.75" thickBot="1" x14ac:dyDescent="0.3">
      <c r="B69" s="59"/>
      <c r="C69" s="59"/>
      <c r="D69" s="59"/>
      <c r="E69" s="657" t="s">
        <v>321</v>
      </c>
      <c r="F69" s="658">
        <v>49</v>
      </c>
      <c r="G69" s="654">
        <f>F69/F70</f>
        <v>0.35766423357664234</v>
      </c>
    </row>
    <row r="70" spans="2:8" ht="15.75" thickBot="1" x14ac:dyDescent="0.3">
      <c r="B70" s="59"/>
      <c r="C70" s="59"/>
      <c r="D70" s="59"/>
      <c r="E70" s="659" t="s">
        <v>17</v>
      </c>
      <c r="F70" s="660">
        <f>SUM(F67:F69)</f>
        <v>137</v>
      </c>
      <c r="G70" s="661"/>
      <c r="H70" s="3"/>
    </row>
    <row r="71" spans="2:8" ht="15.75" thickBot="1" x14ac:dyDescent="0.3">
      <c r="E71" s="662"/>
      <c r="F71" s="662"/>
      <c r="G71" s="663"/>
    </row>
    <row r="72" spans="2:8" ht="15.75" thickBot="1" x14ac:dyDescent="0.3">
      <c r="E72" s="770" t="s">
        <v>50</v>
      </c>
      <c r="F72" s="771"/>
      <c r="G72" s="772"/>
    </row>
    <row r="73" spans="2:8" ht="28.5" customHeight="1" thickBot="1" x14ac:dyDescent="0.3">
      <c r="E73" s="649" t="s">
        <v>3</v>
      </c>
      <c r="F73" s="650" t="s">
        <v>4</v>
      </c>
      <c r="G73" s="664" t="s">
        <v>214</v>
      </c>
    </row>
    <row r="74" spans="2:8" ht="15.75" thickBot="1" x14ac:dyDescent="0.3">
      <c r="E74" s="665">
        <f>E61</f>
        <v>30381253644.290001</v>
      </c>
      <c r="F74" s="666">
        <f>F61</f>
        <v>17119167024.470003</v>
      </c>
      <c r="G74" s="667">
        <f>F74/E74</f>
        <v>0.56347796654162963</v>
      </c>
    </row>
    <row r="76" spans="2:8" ht="30" customHeight="1" x14ac:dyDescent="0.25"/>
    <row r="95" ht="25.5" customHeight="1" x14ac:dyDescent="0.25"/>
  </sheetData>
  <mergeCells count="3">
    <mergeCell ref="E72:G72"/>
    <mergeCell ref="E65:G65"/>
    <mergeCell ref="B2:G2"/>
  </mergeCells>
  <conditionalFormatting sqref="D61:D63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5:G17 G19:G22 G25 G27:G28 G30:G33 G35:G38 G41:G45 G52:G58 G61:G63">
    <cfRule type="colorScale" priority="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4:D64"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:D63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63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4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G26"/>
  <sheetViews>
    <sheetView view="pageBreakPreview" zoomScaleNormal="100" zoomScaleSheetLayoutView="100" workbookViewId="0">
      <selection activeCell="R18" sqref="R18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3" width="20.5703125" style="1" customWidth="1"/>
    <col min="4" max="4" width="25.140625" style="1" customWidth="1"/>
    <col min="5" max="5" width="33.85546875" style="3" customWidth="1"/>
    <col min="6" max="6" width="30" style="3" customWidth="1"/>
    <col min="7" max="7" width="23.8554687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42" t="s">
        <v>318</v>
      </c>
      <c r="C1" s="743"/>
      <c r="D1" s="743"/>
      <c r="E1" s="743"/>
      <c r="F1" s="743"/>
      <c r="G1" s="744"/>
    </row>
    <row r="2" spans="1:7" s="2" customFormat="1" ht="84.75" customHeight="1" thickBot="1" x14ac:dyDescent="0.3"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2" customFormat="1" ht="45.75" customHeight="1" x14ac:dyDescent="0.25">
      <c r="A3" s="4">
        <v>1</v>
      </c>
      <c r="B3" s="565" t="s">
        <v>184</v>
      </c>
      <c r="C3" s="458">
        <v>0</v>
      </c>
      <c r="D3" s="372">
        <f>[18]CONSOLIDADO!C24</f>
        <v>0.37</v>
      </c>
      <c r="E3" s="668">
        <f>1000000000+3435728400+109870000+113715567+1717746001.38</f>
        <v>6377059968.3800001</v>
      </c>
      <c r="F3" s="668">
        <f>1107765453.33+109870000+435728400</f>
        <v>1653363853.3299999</v>
      </c>
      <c r="G3" s="393">
        <f>F3/E3</f>
        <v>0.25926741500441197</v>
      </c>
    </row>
    <row r="4" spans="1:7" s="2" customFormat="1" ht="41.25" customHeight="1" x14ac:dyDescent="0.25">
      <c r="A4" s="4">
        <v>2</v>
      </c>
      <c r="B4" s="567" t="s">
        <v>185</v>
      </c>
      <c r="C4" s="352">
        <v>1</v>
      </c>
      <c r="D4" s="376">
        <f>[18]CONSOLIDADO!C25</f>
        <v>0.2</v>
      </c>
      <c r="E4" s="355">
        <v>7294294932.4300003</v>
      </c>
      <c r="F4" s="355">
        <v>0</v>
      </c>
      <c r="G4" s="396">
        <f>F4/E4</f>
        <v>0</v>
      </c>
    </row>
    <row r="5" spans="1:7" s="2" customFormat="1" ht="45.75" customHeight="1" x14ac:dyDescent="0.25">
      <c r="A5" s="4">
        <v>3</v>
      </c>
      <c r="B5" s="567" t="s">
        <v>186</v>
      </c>
      <c r="C5" s="352">
        <v>1</v>
      </c>
      <c r="D5" s="376">
        <f>[18]CONSOLIDADO!C26</f>
        <v>0.3</v>
      </c>
      <c r="E5" s="355">
        <v>3000000000</v>
      </c>
      <c r="F5" s="355">
        <v>0</v>
      </c>
      <c r="G5" s="396">
        <f t="shared" ref="G5:G12" si="0">F5/E5</f>
        <v>0</v>
      </c>
    </row>
    <row r="6" spans="1:7" s="2" customFormat="1" ht="55.5" customHeight="1" x14ac:dyDescent="0.25">
      <c r="A6" s="4">
        <v>4</v>
      </c>
      <c r="B6" s="567" t="s">
        <v>187</v>
      </c>
      <c r="C6" s="352">
        <v>1</v>
      </c>
      <c r="D6" s="376">
        <f>[18]CONSOLIDADO!C27</f>
        <v>1</v>
      </c>
      <c r="E6" s="355">
        <v>4961807</v>
      </c>
      <c r="F6" s="355">
        <v>4961807</v>
      </c>
      <c r="G6" s="396">
        <f t="shared" si="0"/>
        <v>1</v>
      </c>
    </row>
    <row r="7" spans="1:7" s="2" customFormat="1" ht="42.75" customHeight="1" x14ac:dyDescent="0.25">
      <c r="A7" s="4">
        <v>5</v>
      </c>
      <c r="B7" s="567" t="s">
        <v>188</v>
      </c>
      <c r="C7" s="352">
        <v>1</v>
      </c>
      <c r="D7" s="376">
        <f>[18]CONSOLIDADO!C28</f>
        <v>1</v>
      </c>
      <c r="E7" s="355">
        <v>5283864217</v>
      </c>
      <c r="F7" s="355">
        <v>4892351684</v>
      </c>
      <c r="G7" s="396">
        <f t="shared" si="0"/>
        <v>0.92590412680545986</v>
      </c>
    </row>
    <row r="8" spans="1:7" s="2" customFormat="1" ht="44.25" customHeight="1" x14ac:dyDescent="0.25">
      <c r="A8" s="4">
        <v>6</v>
      </c>
      <c r="B8" s="567" t="s">
        <v>189</v>
      </c>
      <c r="C8" s="352">
        <v>1</v>
      </c>
      <c r="D8" s="376">
        <f>[18]CONSOLIDADO!C29</f>
        <v>0.73076923076923073</v>
      </c>
      <c r="E8" s="355">
        <v>3482435788.9099998</v>
      </c>
      <c r="F8" s="355">
        <v>2488610510.5</v>
      </c>
      <c r="G8" s="396">
        <f t="shared" si="0"/>
        <v>0.71461777369308899</v>
      </c>
    </row>
    <row r="9" spans="1:7" s="2" customFormat="1" ht="62.25" customHeight="1" x14ac:dyDescent="0.25">
      <c r="A9" s="4">
        <v>7</v>
      </c>
      <c r="B9" s="567" t="s">
        <v>187</v>
      </c>
      <c r="C9" s="352">
        <v>1</v>
      </c>
      <c r="D9" s="376">
        <f>[18]CONSOLIDADO!C30</f>
        <v>1</v>
      </c>
      <c r="E9" s="355">
        <f>2230150073.48-4961807</f>
        <v>2225188266.48</v>
      </c>
      <c r="F9" s="355">
        <f>1383570742.02-4961807</f>
        <v>1378608935.02</v>
      </c>
      <c r="G9" s="396">
        <f t="shared" si="0"/>
        <v>0.61954709890718851</v>
      </c>
    </row>
    <row r="10" spans="1:7" s="2" customFormat="1" ht="58.5" customHeight="1" x14ac:dyDescent="0.25">
      <c r="A10" s="4">
        <v>8</v>
      </c>
      <c r="B10" s="567" t="s">
        <v>190</v>
      </c>
      <c r="C10" s="352">
        <v>1</v>
      </c>
      <c r="D10" s="376">
        <f>[18]CONSOLIDADO!C31</f>
        <v>0.22500000000000001</v>
      </c>
      <c r="E10" s="355">
        <v>12829438530</v>
      </c>
      <c r="F10" s="355">
        <v>1584254074.99</v>
      </c>
      <c r="G10" s="396">
        <f t="shared" si="0"/>
        <v>0.12348584634358117</v>
      </c>
    </row>
    <row r="11" spans="1:7" s="2" customFormat="1" ht="32.1" customHeight="1" thickBot="1" x14ac:dyDescent="0.3">
      <c r="A11" s="4">
        <v>9</v>
      </c>
      <c r="B11" s="572" t="s">
        <v>191</v>
      </c>
      <c r="C11" s="361">
        <v>1</v>
      </c>
      <c r="D11" s="382">
        <f>[18]CONSOLIDADO!C32</f>
        <v>1</v>
      </c>
      <c r="E11" s="669">
        <v>1460909531.23</v>
      </c>
      <c r="F11" s="669">
        <v>755932527.80999994</v>
      </c>
      <c r="G11" s="404">
        <f t="shared" si="0"/>
        <v>0.51743965772716205</v>
      </c>
    </row>
    <row r="12" spans="1:7" s="2" customFormat="1" ht="30.75" customHeight="1" thickBot="1" x14ac:dyDescent="0.3">
      <c r="A12" s="4"/>
      <c r="B12" s="714" t="s">
        <v>0</v>
      </c>
      <c r="C12" s="456">
        <v>9</v>
      </c>
      <c r="D12" s="433">
        <f>SUM(D3:D11)/9</f>
        <v>0.64730769230769225</v>
      </c>
      <c r="E12" s="715">
        <f>SUM(E3:E11)</f>
        <v>41958153041.43</v>
      </c>
      <c r="F12" s="715">
        <f>SUM(F3:F11)</f>
        <v>12758083392.65</v>
      </c>
      <c r="G12" s="316">
        <f t="shared" si="0"/>
        <v>0.30406684917833515</v>
      </c>
    </row>
    <row r="13" spans="1:7" s="2" customFormat="1" ht="19.5" hidden="1" customHeight="1" thickBot="1" x14ac:dyDescent="0.3">
      <c r="A13" s="4"/>
      <c r="B13" s="119"/>
      <c r="C13" s="95"/>
      <c r="D13" s="103">
        <v>1</v>
      </c>
      <c r="E13" s="123"/>
      <c r="F13" s="123"/>
      <c r="G13" s="162">
        <v>1</v>
      </c>
    </row>
    <row r="14" spans="1:7" s="2" customFormat="1" ht="19.5" hidden="1" customHeight="1" x14ac:dyDescent="0.25">
      <c r="A14" s="4"/>
      <c r="B14" s="119"/>
      <c r="C14" s="95"/>
      <c r="D14" s="103">
        <v>0</v>
      </c>
      <c r="E14" s="123"/>
      <c r="F14" s="123"/>
      <c r="G14" s="162">
        <v>0</v>
      </c>
    </row>
    <row r="15" spans="1:7" ht="15.75" customHeight="1" x14ac:dyDescent="0.25">
      <c r="B15" s="15"/>
      <c r="C15" s="15"/>
      <c r="D15" s="15"/>
      <c r="E15" s="16"/>
      <c r="F15" s="16"/>
      <c r="G15" s="15"/>
    </row>
    <row r="16" spans="1:7" ht="15.75" thickBot="1" x14ac:dyDescent="0.3">
      <c r="B16" s="2"/>
      <c r="C16" s="2"/>
      <c r="D16" s="2"/>
    </row>
    <row r="17" spans="1:7" s="2" customFormat="1" ht="15.75" thickBot="1" x14ac:dyDescent="0.3">
      <c r="A17" s="1"/>
      <c r="E17" s="732" t="s">
        <v>16</v>
      </c>
      <c r="F17" s="733"/>
      <c r="G17" s="734"/>
    </row>
    <row r="18" spans="1:7" s="2" customFormat="1" x14ac:dyDescent="0.25">
      <c r="A18" s="1"/>
      <c r="E18" s="670" t="s">
        <v>13</v>
      </c>
      <c r="F18" s="671" t="s">
        <v>14</v>
      </c>
      <c r="G18" s="672" t="s">
        <v>15</v>
      </c>
    </row>
    <row r="19" spans="1:7" s="2" customFormat="1" x14ac:dyDescent="0.25">
      <c r="A19" s="1"/>
      <c r="B19" s="3"/>
      <c r="C19" s="3"/>
      <c r="D19" s="3"/>
      <c r="E19" s="144" t="s">
        <v>327</v>
      </c>
      <c r="F19" s="673">
        <v>4</v>
      </c>
      <c r="G19" s="390">
        <f>F19/F22</f>
        <v>0.44444444444444442</v>
      </c>
    </row>
    <row r="20" spans="1:7" s="3" customFormat="1" x14ac:dyDescent="0.25">
      <c r="A20" s="1"/>
      <c r="E20" s="146" t="s">
        <v>325</v>
      </c>
      <c r="F20" s="147">
        <v>1</v>
      </c>
      <c r="G20" s="390">
        <f>F20/F22</f>
        <v>0.1111111111111111</v>
      </c>
    </row>
    <row r="21" spans="1:7" s="3" customFormat="1" ht="15.75" thickBot="1" x14ac:dyDescent="0.3">
      <c r="A21" s="1"/>
      <c r="E21" s="148" t="s">
        <v>321</v>
      </c>
      <c r="F21" s="510">
        <v>4</v>
      </c>
      <c r="G21" s="674">
        <f>F21/F22</f>
        <v>0.44444444444444442</v>
      </c>
    </row>
    <row r="22" spans="1:7" s="3" customFormat="1" ht="15.75" thickBot="1" x14ac:dyDescent="0.3">
      <c r="A22" s="1"/>
      <c r="E22" s="675" t="s">
        <v>17</v>
      </c>
      <c r="F22" s="676">
        <f>9</f>
        <v>9</v>
      </c>
      <c r="G22" s="677"/>
    </row>
    <row r="23" spans="1:7" s="3" customFormat="1" ht="15.75" thickBot="1" x14ac:dyDescent="0.3">
      <c r="A23" s="1"/>
      <c r="E23" s="678"/>
      <c r="F23" s="118"/>
      <c r="G23" s="160"/>
    </row>
    <row r="24" spans="1:7" s="3" customFormat="1" ht="15.75" thickBot="1" x14ac:dyDescent="0.3">
      <c r="A24" s="1"/>
      <c r="E24" s="767" t="s">
        <v>276</v>
      </c>
      <c r="F24" s="768"/>
      <c r="G24" s="769"/>
    </row>
    <row r="25" spans="1:7" s="3" customFormat="1" ht="15.75" thickBot="1" x14ac:dyDescent="0.3">
      <c r="A25" s="1"/>
      <c r="B25" s="1"/>
      <c r="C25" s="1"/>
      <c r="D25" s="1"/>
      <c r="E25" s="258" t="s">
        <v>3</v>
      </c>
      <c r="F25" s="256" t="s">
        <v>4</v>
      </c>
      <c r="G25" s="161" t="s">
        <v>214</v>
      </c>
    </row>
    <row r="26" spans="1:7" ht="15.75" thickBot="1" x14ac:dyDescent="0.3">
      <c r="E26" s="617">
        <f>E12</f>
        <v>41958153041.43</v>
      </c>
      <c r="F26" s="618">
        <f>F12</f>
        <v>12758083392.65</v>
      </c>
      <c r="G26" s="69">
        <f>F26/E26</f>
        <v>0.30406684917833515</v>
      </c>
    </row>
  </sheetData>
  <mergeCells count="3">
    <mergeCell ref="B1:G1"/>
    <mergeCell ref="E17:G17"/>
    <mergeCell ref="E24:G24"/>
  </mergeCells>
  <conditionalFormatting sqref="D3:D14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4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5" scale="49" fitToHeight="0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3"/>
  <sheetViews>
    <sheetView view="pageBreakPreview" zoomScaleNormal="80" zoomScaleSheetLayoutView="100" workbookViewId="0">
      <selection activeCell="I11" sqref="I11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6" width="20.5703125" style="3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742" t="s">
        <v>319</v>
      </c>
      <c r="C1" s="743"/>
      <c r="D1" s="743"/>
      <c r="E1" s="743"/>
      <c r="F1" s="743"/>
      <c r="G1" s="744"/>
    </row>
    <row r="2" spans="1:7" s="2" customFormat="1" ht="77.25" thickBot="1" x14ac:dyDescent="0.3">
      <c r="B2" s="14" t="s">
        <v>1</v>
      </c>
      <c r="C2" s="166" t="s">
        <v>55</v>
      </c>
      <c r="D2" s="140" t="s">
        <v>63</v>
      </c>
      <c r="E2" s="167" t="s">
        <v>57</v>
      </c>
      <c r="F2" s="168" t="s">
        <v>58</v>
      </c>
      <c r="G2" s="169" t="s">
        <v>56</v>
      </c>
    </row>
    <row r="3" spans="1:7" s="2" customFormat="1" ht="42.75" customHeight="1" thickBot="1" x14ac:dyDescent="0.3">
      <c r="A3" s="4">
        <v>1</v>
      </c>
      <c r="B3" s="679" t="s">
        <v>295</v>
      </c>
      <c r="C3" s="680">
        <v>1</v>
      </c>
      <c r="D3" s="681">
        <v>1</v>
      </c>
      <c r="E3" s="585" t="s">
        <v>324</v>
      </c>
      <c r="F3" s="682">
        <v>208096850</v>
      </c>
      <c r="G3" s="683">
        <v>1</v>
      </c>
    </row>
    <row r="4" spans="1:7" ht="21.75" customHeight="1" thickBot="1" x14ac:dyDescent="0.3">
      <c r="B4" s="297" t="s">
        <v>0</v>
      </c>
      <c r="C4" s="298">
        <v>1</v>
      </c>
      <c r="D4" s="684">
        <f>D3</f>
        <v>1</v>
      </c>
      <c r="E4" s="685">
        <v>0</v>
      </c>
      <c r="F4" s="340">
        <f>F3</f>
        <v>208096850</v>
      </c>
      <c r="G4" s="686">
        <v>1</v>
      </c>
    </row>
    <row r="5" spans="1:7" s="2" customFormat="1" ht="15" hidden="1" customHeight="1" x14ac:dyDescent="0.25">
      <c r="A5" s="1"/>
      <c r="B5" s="15"/>
      <c r="C5" s="15"/>
      <c r="D5" s="223">
        <v>0</v>
      </c>
      <c r="E5" s="16"/>
      <c r="F5" s="16"/>
      <c r="G5" s="223">
        <v>0</v>
      </c>
    </row>
    <row r="6" spans="1:7" s="2" customFormat="1" hidden="1" x14ac:dyDescent="0.25">
      <c r="A6" s="1"/>
      <c r="D6" s="254">
        <v>1</v>
      </c>
      <c r="E6" s="3"/>
      <c r="F6" s="3"/>
      <c r="G6" s="254">
        <v>1</v>
      </c>
    </row>
    <row r="7" spans="1:7" s="2" customFormat="1" ht="15.75" thickBot="1" x14ac:dyDescent="0.3">
      <c r="A7" s="1"/>
      <c r="E7" s="3"/>
      <c r="F7" s="3"/>
    </row>
    <row r="8" spans="1:7" s="2" customFormat="1" ht="15.75" thickBot="1" x14ac:dyDescent="0.3">
      <c r="A8" s="1"/>
      <c r="E8" s="745" t="s">
        <v>16</v>
      </c>
      <c r="F8" s="746"/>
      <c r="G8" s="747"/>
    </row>
    <row r="9" spans="1:7" s="2" customFormat="1" ht="15.75" thickBot="1" x14ac:dyDescent="0.3">
      <c r="A9" s="1"/>
      <c r="E9" s="132" t="s">
        <v>13</v>
      </c>
      <c r="F9" s="133" t="s">
        <v>14</v>
      </c>
      <c r="G9" s="134" t="s">
        <v>15</v>
      </c>
    </row>
    <row r="10" spans="1:7" s="2" customFormat="1" x14ac:dyDescent="0.25">
      <c r="A10" s="1"/>
      <c r="E10" s="151" t="s">
        <v>326</v>
      </c>
      <c r="F10" s="152">
        <v>1</v>
      </c>
      <c r="G10" s="23">
        <f>F10/F13</f>
        <v>1</v>
      </c>
    </row>
    <row r="11" spans="1:7" s="2" customFormat="1" x14ac:dyDescent="0.25">
      <c r="A11" s="1"/>
      <c r="E11" s="153" t="s">
        <v>325</v>
      </c>
      <c r="F11" s="154"/>
      <c r="G11" s="23">
        <f>F11/F13</f>
        <v>0</v>
      </c>
    </row>
    <row r="12" spans="1:7" s="2" customFormat="1" ht="15.75" thickBot="1" x14ac:dyDescent="0.3">
      <c r="A12" s="1"/>
      <c r="E12" s="155" t="s">
        <v>321</v>
      </c>
      <c r="F12" s="156"/>
      <c r="G12" s="23">
        <f>F12/F13</f>
        <v>0</v>
      </c>
    </row>
    <row r="13" spans="1:7" s="2" customFormat="1" ht="15.75" thickBot="1" x14ac:dyDescent="0.3">
      <c r="A13" s="1"/>
      <c r="E13" s="157" t="s">
        <v>17</v>
      </c>
      <c r="F13" s="158">
        <v>1</v>
      </c>
      <c r="G13" s="50"/>
    </row>
    <row r="14" spans="1:7" s="2" customFormat="1" ht="15.75" thickBot="1" x14ac:dyDescent="0.3">
      <c r="A14" s="1"/>
      <c r="E14" s="192"/>
      <c r="F14" s="193"/>
      <c r="G14" s="33"/>
    </row>
    <row r="15" spans="1:7" s="2" customFormat="1" ht="15.75" thickBot="1" x14ac:dyDescent="0.3">
      <c r="A15" s="1"/>
      <c r="E15" s="763" t="s">
        <v>274</v>
      </c>
      <c r="F15" s="764"/>
      <c r="G15" s="765"/>
    </row>
    <row r="16" spans="1:7" s="3" customFormat="1" ht="15.75" thickBot="1" x14ac:dyDescent="0.3">
      <c r="A16" s="1"/>
      <c r="B16" s="2"/>
      <c r="C16" s="2"/>
      <c r="D16" s="2"/>
      <c r="E16" s="132" t="s">
        <v>3</v>
      </c>
      <c r="F16" s="133" t="s">
        <v>4</v>
      </c>
      <c r="G16" s="30" t="s">
        <v>214</v>
      </c>
    </row>
    <row r="17" spans="1:7" s="3" customFormat="1" ht="15.75" thickBot="1" x14ac:dyDescent="0.3">
      <c r="A17" s="1"/>
      <c r="E17" s="211">
        <v>0</v>
      </c>
      <c r="F17" s="255">
        <v>0</v>
      </c>
      <c r="G17" s="196">
        <v>0</v>
      </c>
    </row>
    <row r="18" spans="1:7" s="3" customFormat="1" x14ac:dyDescent="0.25">
      <c r="A18" s="1"/>
      <c r="G18" s="2"/>
    </row>
    <row r="19" spans="1:7" s="3" customFormat="1" x14ac:dyDescent="0.25">
      <c r="A19" s="1"/>
      <c r="G19" s="2"/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x14ac:dyDescent="0.25">
      <c r="B23" s="3"/>
      <c r="C23" s="3"/>
      <c r="D23" s="3"/>
    </row>
  </sheetData>
  <mergeCells count="3">
    <mergeCell ref="B1:G1"/>
    <mergeCell ref="E8:G8"/>
    <mergeCell ref="E15:G15"/>
  </mergeCells>
  <conditionalFormatting sqref="D3:D6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/>
  </sheetPr>
  <dimension ref="A1:H41"/>
  <sheetViews>
    <sheetView showGridLines="0" view="pageBreakPreview" topLeftCell="B1" zoomScaleNormal="80" zoomScaleSheetLayoutView="100" workbookViewId="0">
      <selection activeCell="I4" sqref="I4"/>
    </sheetView>
  </sheetViews>
  <sheetFormatPr baseColWidth="10" defaultRowHeight="15" x14ac:dyDescent="0.25"/>
  <cols>
    <col min="1" max="1" width="2.140625" style="77" bestFit="1" customWidth="1"/>
    <col min="2" max="2" width="60.5703125" style="1" customWidth="1"/>
    <col min="3" max="4" width="20.5703125" style="1" customWidth="1"/>
    <col min="5" max="5" width="26.85546875" style="3" customWidth="1"/>
    <col min="6" max="6" width="23.28515625" style="3" customWidth="1"/>
    <col min="7" max="7" width="20.5703125" style="2" customWidth="1"/>
    <col min="8" max="8" width="3.140625" customWidth="1"/>
  </cols>
  <sheetData>
    <row r="1" spans="1:7" s="1" customFormat="1" ht="74.25" customHeight="1" thickBot="1" x14ac:dyDescent="0.3">
      <c r="A1" s="77"/>
      <c r="B1" s="729" t="s">
        <v>298</v>
      </c>
      <c r="C1" s="730"/>
      <c r="D1" s="730"/>
      <c r="E1" s="730"/>
      <c r="F1" s="730"/>
      <c r="G1" s="731"/>
    </row>
    <row r="2" spans="1:7" s="2" customFormat="1" ht="99" customHeight="1" thickBot="1" x14ac:dyDescent="0.3">
      <c r="A2" s="20"/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s="2" customFormat="1" ht="39.75" customHeight="1" thickBot="1" x14ac:dyDescent="0.3">
      <c r="A3" s="20">
        <v>1</v>
      </c>
      <c r="B3" s="346" t="s">
        <v>320</v>
      </c>
      <c r="C3" s="738">
        <v>9</v>
      </c>
      <c r="D3" s="740">
        <v>0.87970000000000004</v>
      </c>
      <c r="E3" s="347">
        <v>35000000</v>
      </c>
      <c r="F3" s="347">
        <v>27068000</v>
      </c>
      <c r="G3" s="348">
        <f t="shared" ref="G3:G8" si="0">F3/E3</f>
        <v>0.7733714285714286</v>
      </c>
    </row>
    <row r="4" spans="1:7" s="2" customFormat="1" ht="47.25" customHeight="1" x14ac:dyDescent="0.25">
      <c r="A4" s="20"/>
      <c r="B4" s="346" t="s">
        <v>328</v>
      </c>
      <c r="C4" s="739"/>
      <c r="D4" s="741"/>
      <c r="E4" s="349">
        <v>220000000</v>
      </c>
      <c r="F4" s="349">
        <v>77400000</v>
      </c>
      <c r="G4" s="350">
        <f>F4/E4</f>
        <v>0.35181818181818181</v>
      </c>
    </row>
    <row r="5" spans="1:7" s="2" customFormat="1" ht="30" customHeight="1" x14ac:dyDescent="0.25">
      <c r="A5" s="5">
        <v>2</v>
      </c>
      <c r="B5" s="351" t="s">
        <v>59</v>
      </c>
      <c r="C5" s="352">
        <v>3</v>
      </c>
      <c r="D5" s="353">
        <v>1</v>
      </c>
      <c r="E5" s="354">
        <v>135000000</v>
      </c>
      <c r="F5" s="355">
        <v>73192375</v>
      </c>
      <c r="G5" s="356">
        <f>F5/E5</f>
        <v>0.54216574074074075</v>
      </c>
    </row>
    <row r="6" spans="1:7" s="2" customFormat="1" ht="30" customHeight="1" x14ac:dyDescent="0.25">
      <c r="A6" s="20">
        <v>3</v>
      </c>
      <c r="B6" s="351" t="s">
        <v>60</v>
      </c>
      <c r="C6" s="352">
        <v>6</v>
      </c>
      <c r="D6" s="353">
        <v>0.8921</v>
      </c>
      <c r="E6" s="357">
        <v>1113166666</v>
      </c>
      <c r="F6" s="358">
        <v>898181000</v>
      </c>
      <c r="G6" s="356">
        <f t="shared" si="0"/>
        <v>0.80687019063145393</v>
      </c>
    </row>
    <row r="7" spans="1:7" ht="30" customHeight="1" x14ac:dyDescent="0.25">
      <c r="A7" s="5">
        <v>4</v>
      </c>
      <c r="B7" s="351" t="s">
        <v>61</v>
      </c>
      <c r="C7" s="352">
        <v>7</v>
      </c>
      <c r="D7" s="353">
        <v>0.97140000000000004</v>
      </c>
      <c r="E7" s="359">
        <v>530000000</v>
      </c>
      <c r="F7" s="358">
        <v>435121573</v>
      </c>
      <c r="G7" s="356">
        <f t="shared" si="0"/>
        <v>0.82098409999999999</v>
      </c>
    </row>
    <row r="8" spans="1:7" s="1" customFormat="1" ht="30" customHeight="1" thickBot="1" x14ac:dyDescent="0.3">
      <c r="A8" s="20">
        <v>5</v>
      </c>
      <c r="B8" s="360" t="s">
        <v>62</v>
      </c>
      <c r="C8" s="361">
        <v>4</v>
      </c>
      <c r="D8" s="362">
        <v>0.64580000000000004</v>
      </c>
      <c r="E8" s="363">
        <v>283907271</v>
      </c>
      <c r="F8" s="363">
        <v>217200000</v>
      </c>
      <c r="G8" s="364">
        <f t="shared" si="0"/>
        <v>0.76503852555435259</v>
      </c>
    </row>
    <row r="9" spans="1:7" ht="30" customHeight="1" thickBot="1" x14ac:dyDescent="0.3">
      <c r="A9" s="5"/>
      <c r="B9" s="365" t="s">
        <v>0</v>
      </c>
      <c r="C9" s="366">
        <f>SUM(C3:C8)</f>
        <v>29</v>
      </c>
      <c r="D9" s="367">
        <f>SUM(D3:D8)/5</f>
        <v>0.87780000000000002</v>
      </c>
      <c r="E9" s="370">
        <f>E3+E5+E6+E7+E8+E4</f>
        <v>2317073937</v>
      </c>
      <c r="F9" s="368">
        <f>F3+F5+F6+F7+F8+F4</f>
        <v>1728162948</v>
      </c>
      <c r="G9" s="369">
        <f>F9/E9</f>
        <v>0.74583849932623014</v>
      </c>
    </row>
    <row r="10" spans="1:7" s="1" customFormat="1" hidden="1" x14ac:dyDescent="0.25">
      <c r="A10" s="5"/>
      <c r="B10" s="94"/>
      <c r="C10" s="95"/>
      <c r="D10" s="96">
        <v>1</v>
      </c>
      <c r="E10" s="97"/>
      <c r="F10" s="97"/>
      <c r="G10" s="98">
        <v>1</v>
      </c>
    </row>
    <row r="11" spans="1:7" ht="10.5" hidden="1" customHeight="1" x14ac:dyDescent="0.25">
      <c r="B11" s="25"/>
      <c r="C11" s="25"/>
      <c r="D11" s="96">
        <v>0</v>
      </c>
      <c r="E11" s="26"/>
      <c r="F11" s="26"/>
      <c r="G11" s="96">
        <v>0</v>
      </c>
    </row>
    <row r="12" spans="1:7" s="1" customFormat="1" ht="17.100000000000001" customHeight="1" thickBot="1" x14ac:dyDescent="0.3">
      <c r="A12" s="77"/>
      <c r="C12" s="25"/>
      <c r="D12" s="96"/>
      <c r="E12" s="26"/>
      <c r="F12" s="26"/>
      <c r="G12" s="96"/>
    </row>
    <row r="13" spans="1:7" s="1" customFormat="1" ht="17.100000000000001" customHeight="1" thickBot="1" x14ac:dyDescent="0.3">
      <c r="A13" s="77"/>
      <c r="B13" s="2"/>
      <c r="C13" s="2"/>
      <c r="D13" s="2"/>
      <c r="E13" s="735" t="s">
        <v>16</v>
      </c>
      <c r="F13" s="736"/>
      <c r="G13" s="737"/>
    </row>
    <row r="14" spans="1:7" s="1" customFormat="1" ht="17.100000000000001" customHeight="1" thickBot="1" x14ac:dyDescent="0.3">
      <c r="A14" s="77"/>
      <c r="B14" s="2"/>
      <c r="C14" s="2"/>
      <c r="D14" s="2"/>
      <c r="E14" s="258" t="s">
        <v>13</v>
      </c>
      <c r="F14" s="256" t="s">
        <v>14</v>
      </c>
      <c r="G14" s="257" t="s">
        <v>15</v>
      </c>
    </row>
    <row r="15" spans="1:7" x14ac:dyDescent="0.25">
      <c r="B15" s="2"/>
      <c r="C15" s="2"/>
      <c r="D15" s="2"/>
      <c r="E15" s="144" t="s">
        <v>323</v>
      </c>
      <c r="F15" s="145">
        <v>22</v>
      </c>
      <c r="G15" s="159">
        <f>F15/F18</f>
        <v>0.75862068965517238</v>
      </c>
    </row>
    <row r="16" spans="1:7" s="1" customFormat="1" x14ac:dyDescent="0.25">
      <c r="A16" s="77"/>
      <c r="B16" s="2"/>
      <c r="C16" s="2"/>
      <c r="D16" s="2"/>
      <c r="E16" s="146" t="s">
        <v>322</v>
      </c>
      <c r="F16" s="147">
        <v>5</v>
      </c>
      <c r="G16" s="159">
        <f>F16/F18</f>
        <v>0.17241379310344829</v>
      </c>
    </row>
    <row r="17" spans="1:8" ht="15.75" thickBot="1" x14ac:dyDescent="0.3">
      <c r="B17" s="2"/>
      <c r="C17" s="2"/>
      <c r="D17" s="2"/>
      <c r="E17" s="146" t="s">
        <v>321</v>
      </c>
      <c r="F17" s="149">
        <v>2</v>
      </c>
      <c r="G17" s="159">
        <f>F17/F18</f>
        <v>6.8965517241379309E-2</v>
      </c>
    </row>
    <row r="18" spans="1:8" ht="15.75" thickBot="1" x14ac:dyDescent="0.3">
      <c r="B18" s="2"/>
      <c r="C18" s="2"/>
      <c r="D18" s="2"/>
      <c r="E18" s="410" t="s">
        <v>17</v>
      </c>
      <c r="F18" s="150">
        <f>SUM(F15:F17)</f>
        <v>29</v>
      </c>
      <c r="G18" s="160"/>
    </row>
    <row r="19" spans="1:8" ht="15.75" thickBot="1" x14ac:dyDescent="0.3">
      <c r="B19" s="2"/>
      <c r="C19" s="2"/>
      <c r="D19" s="2"/>
      <c r="E19" s="411"/>
      <c r="F19" s="411"/>
      <c r="G19" s="87"/>
    </row>
    <row r="20" spans="1:8" s="1" customFormat="1" ht="15.75" thickBot="1" x14ac:dyDescent="0.3">
      <c r="A20" s="77"/>
      <c r="B20" s="2"/>
      <c r="C20" s="2"/>
      <c r="D20" s="2"/>
      <c r="E20" s="732" t="s">
        <v>2</v>
      </c>
      <c r="F20" s="733"/>
      <c r="G20" s="734"/>
    </row>
    <row r="21" spans="1:8" ht="15.75" thickBot="1" x14ac:dyDescent="0.3">
      <c r="B21" s="2"/>
      <c r="C21" s="2"/>
      <c r="D21" s="2"/>
      <c r="E21" s="258" t="s">
        <v>3</v>
      </c>
      <c r="F21" s="256" t="s">
        <v>4</v>
      </c>
      <c r="G21" s="161" t="s">
        <v>213</v>
      </c>
    </row>
    <row r="22" spans="1:8" ht="17.100000000000001" customHeight="1" thickBot="1" x14ac:dyDescent="0.3">
      <c r="B22" s="2"/>
      <c r="C22" s="2"/>
      <c r="D22" s="2"/>
      <c r="E22" s="412">
        <f>E9</f>
        <v>2317073937</v>
      </c>
      <c r="F22" s="413">
        <f>F9</f>
        <v>1728162948</v>
      </c>
      <c r="G22" s="69">
        <f>F22/E22</f>
        <v>0.74583849932623014</v>
      </c>
    </row>
    <row r="23" spans="1:8" ht="17.100000000000001" customHeight="1" x14ac:dyDescent="0.25">
      <c r="B23" s="2"/>
      <c r="C23" s="2"/>
      <c r="D23" s="2"/>
      <c r="E23" s="414"/>
      <c r="F23" s="414"/>
    </row>
    <row r="24" spans="1:8" ht="17.100000000000001" customHeight="1" x14ac:dyDescent="0.25">
      <c r="B24" s="2"/>
      <c r="C24" s="2"/>
      <c r="D24" s="2"/>
      <c r="E24" s="414"/>
      <c r="F24" s="414"/>
    </row>
    <row r="25" spans="1:8" ht="17.100000000000001" customHeight="1" x14ac:dyDescent="0.25">
      <c r="B25" s="2"/>
      <c r="C25" s="2"/>
      <c r="D25" s="2"/>
      <c r="E25" s="414"/>
      <c r="F25" s="414"/>
    </row>
    <row r="26" spans="1:8" x14ac:dyDescent="0.25">
      <c r="B26" s="2"/>
      <c r="C26" s="2"/>
      <c r="D26" s="2"/>
      <c r="E26" s="414"/>
      <c r="F26" s="414"/>
    </row>
    <row r="27" spans="1:8" x14ac:dyDescent="0.25">
      <c r="B27" s="2"/>
      <c r="C27" s="2"/>
      <c r="D27" s="2"/>
      <c r="E27" s="414"/>
      <c r="F27" s="414"/>
    </row>
    <row r="28" spans="1:8" x14ac:dyDescent="0.25">
      <c r="B28" s="2"/>
      <c r="C28" s="2"/>
      <c r="D28" s="2"/>
      <c r="E28" s="414"/>
      <c r="F28" s="414"/>
    </row>
    <row r="29" spans="1:8" x14ac:dyDescent="0.25">
      <c r="B29" s="2"/>
      <c r="C29" s="2"/>
      <c r="D29" s="2"/>
      <c r="E29" s="414"/>
      <c r="F29" s="414"/>
    </row>
    <row r="30" spans="1:8" x14ac:dyDescent="0.25">
      <c r="B30" s="2"/>
      <c r="C30" s="2"/>
      <c r="D30" s="2"/>
      <c r="E30" s="415"/>
      <c r="F30" s="415"/>
      <c r="G30" s="415"/>
    </row>
    <row r="31" spans="1:8" x14ac:dyDescent="0.25">
      <c r="B31" s="2"/>
      <c r="C31" s="2"/>
      <c r="D31" s="2"/>
      <c r="E31" s="415"/>
      <c r="F31" s="415"/>
      <c r="G31" s="11"/>
    </row>
    <row r="32" spans="1:8" x14ac:dyDescent="0.25">
      <c r="B32" s="2"/>
      <c r="C32" s="2"/>
      <c r="D32" s="2"/>
      <c r="E32" s="414"/>
      <c r="F32" s="414"/>
      <c r="H32" s="21"/>
    </row>
    <row r="33" spans="2:8" x14ac:dyDescent="0.25">
      <c r="B33" s="2"/>
      <c r="C33" s="2"/>
      <c r="D33" s="2"/>
      <c r="E33" s="414"/>
      <c r="F33" s="414"/>
      <c r="H33" s="22"/>
    </row>
    <row r="34" spans="2:8" x14ac:dyDescent="0.25">
      <c r="B34" s="2"/>
      <c r="C34" s="2"/>
      <c r="D34" s="2"/>
      <c r="E34" s="414"/>
      <c r="F34" s="414"/>
    </row>
    <row r="35" spans="2:8" x14ac:dyDescent="0.25">
      <c r="B35" s="2"/>
      <c r="C35" s="2"/>
      <c r="D35" s="2"/>
      <c r="E35" s="414"/>
      <c r="F35" s="414"/>
    </row>
    <row r="36" spans="2:8" x14ac:dyDescent="0.25">
      <c r="B36" s="2"/>
      <c r="C36" s="2"/>
      <c r="D36" s="2"/>
      <c r="E36" s="414"/>
      <c r="F36" s="414"/>
    </row>
    <row r="37" spans="2:8" x14ac:dyDescent="0.25">
      <c r="B37" s="2"/>
      <c r="C37" s="2"/>
      <c r="D37" s="2"/>
      <c r="E37" s="414"/>
      <c r="F37" s="414"/>
    </row>
    <row r="38" spans="2:8" x14ac:dyDescent="0.25">
      <c r="B38" s="2"/>
      <c r="C38" s="2"/>
      <c r="D38" s="2"/>
      <c r="E38" s="414"/>
      <c r="F38" s="414"/>
    </row>
    <row r="39" spans="2:8" x14ac:dyDescent="0.25">
      <c r="B39" s="2"/>
      <c r="C39" s="2"/>
      <c r="D39" s="2"/>
      <c r="E39" s="414"/>
      <c r="F39" s="414"/>
    </row>
    <row r="40" spans="2:8" x14ac:dyDescent="0.25">
      <c r="B40" s="2"/>
      <c r="C40" s="2"/>
      <c r="D40" s="2"/>
      <c r="E40" s="414"/>
      <c r="F40" s="414"/>
    </row>
    <row r="41" spans="2:8" x14ac:dyDescent="0.25">
      <c r="B41" s="2"/>
      <c r="C41" s="2"/>
      <c r="D41" s="2"/>
      <c r="E41" s="414"/>
      <c r="F41" s="414"/>
    </row>
  </sheetData>
  <mergeCells count="5">
    <mergeCell ref="B1:G1"/>
    <mergeCell ref="E20:G20"/>
    <mergeCell ref="E13:G13"/>
    <mergeCell ref="C3:C4"/>
    <mergeCell ref="D3:D4"/>
  </mergeCells>
  <conditionalFormatting sqref="D5:D10 D3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1:D12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5:D12 D3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1:G12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1:G12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2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:G9"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11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5:D11 D3"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1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5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1"/>
  <sheetViews>
    <sheetView view="pageBreakPreview" topLeftCell="A2" zoomScaleNormal="80" zoomScaleSheetLayoutView="100" workbookViewId="0">
      <selection activeCell="F3" sqref="F3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210" customWidth="1"/>
    <col min="3" max="4" width="20.5703125" style="210" customWidth="1"/>
    <col min="5" max="5" width="29.7109375" style="16" customWidth="1"/>
    <col min="6" max="6" width="23.7109375" style="16" customWidth="1"/>
    <col min="7" max="7" width="26.140625" style="15" bestFit="1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6.75" customHeight="1" thickBot="1" x14ac:dyDescent="0.25">
      <c r="B2" s="742" t="s">
        <v>299</v>
      </c>
      <c r="C2" s="743"/>
      <c r="D2" s="743"/>
      <c r="E2" s="743"/>
      <c r="F2" s="743"/>
      <c r="G2" s="744"/>
    </row>
    <row r="3" spans="1:7" ht="103.5" customHeight="1" thickBot="1" x14ac:dyDescent="0.25">
      <c r="B3" s="78" t="s">
        <v>1</v>
      </c>
      <c r="C3" s="140" t="s">
        <v>55</v>
      </c>
      <c r="D3" s="140" t="s">
        <v>63</v>
      </c>
      <c r="E3" s="141" t="s">
        <v>57</v>
      </c>
      <c r="F3" s="142" t="s">
        <v>58</v>
      </c>
      <c r="G3" s="143" t="s">
        <v>56</v>
      </c>
    </row>
    <row r="4" spans="1:7" ht="54" x14ac:dyDescent="0.2">
      <c r="A4" s="17">
        <v>1</v>
      </c>
      <c r="B4" s="346" t="s">
        <v>64</v>
      </c>
      <c r="C4" s="371">
        <v>1</v>
      </c>
      <c r="D4" s="372">
        <f>[1]CONSOLIDADO!E56</f>
        <v>0.2</v>
      </c>
      <c r="E4" s="373">
        <f>[1]CONSOLIDADO!F56</f>
        <v>0</v>
      </c>
      <c r="F4" s="373">
        <f>[1]CONSOLIDADO!G56</f>
        <v>0</v>
      </c>
      <c r="G4" s="374" t="s">
        <v>354</v>
      </c>
    </row>
    <row r="5" spans="1:7" ht="36" x14ac:dyDescent="0.2">
      <c r="A5" s="17">
        <v>2</v>
      </c>
      <c r="B5" s="351" t="s">
        <v>65</v>
      </c>
      <c r="C5" s="375">
        <v>1</v>
      </c>
      <c r="D5" s="376">
        <f>[1]CONSOLIDADO!E57</f>
        <v>1</v>
      </c>
      <c r="E5" s="377">
        <f>[1]CONSOLIDADO!F57</f>
        <v>80000000</v>
      </c>
      <c r="F5" s="377">
        <f>[1]CONSOLIDADO!G57</f>
        <v>0</v>
      </c>
      <c r="G5" s="378">
        <f t="shared" ref="G5:G17" si="0">F5/E5</f>
        <v>0</v>
      </c>
    </row>
    <row r="6" spans="1:7" ht="36" x14ac:dyDescent="0.2">
      <c r="A6" s="17">
        <v>3</v>
      </c>
      <c r="B6" s="351" t="s">
        <v>66</v>
      </c>
      <c r="C6" s="375">
        <v>1</v>
      </c>
      <c r="D6" s="376">
        <f>[1]CONSOLIDADO!E58</f>
        <v>1</v>
      </c>
      <c r="E6" s="377">
        <f>[1]CONSOLIDADO!F58</f>
        <v>30000000</v>
      </c>
      <c r="F6" s="377">
        <f>[1]CONSOLIDADO!G58</f>
        <v>27283333</v>
      </c>
      <c r="G6" s="378">
        <f t="shared" si="0"/>
        <v>0.90944443333333336</v>
      </c>
    </row>
    <row r="7" spans="1:7" ht="36" x14ac:dyDescent="0.2">
      <c r="A7" s="17">
        <v>4</v>
      </c>
      <c r="B7" s="351" t="s">
        <v>67</v>
      </c>
      <c r="C7" s="375">
        <v>11</v>
      </c>
      <c r="D7" s="376">
        <f>[1]CONSOLIDADO!E59</f>
        <v>0.73</v>
      </c>
      <c r="E7" s="377">
        <f>[1]CONSOLIDADO!F59</f>
        <v>473650359</v>
      </c>
      <c r="F7" s="379">
        <f>[1]CONSOLIDADO!G59</f>
        <v>327539159</v>
      </c>
      <c r="G7" s="378">
        <f t="shared" si="0"/>
        <v>0.69152097697449444</v>
      </c>
    </row>
    <row r="8" spans="1:7" ht="54" x14ac:dyDescent="0.2">
      <c r="A8" s="17">
        <v>5</v>
      </c>
      <c r="B8" s="351" t="s">
        <v>68</v>
      </c>
      <c r="C8" s="375">
        <v>7</v>
      </c>
      <c r="D8" s="376">
        <f>[1]CONSOLIDADO!E60</f>
        <v>0.81</v>
      </c>
      <c r="E8" s="379">
        <f>[1]CONSOLIDADO!F60</f>
        <v>681927000</v>
      </c>
      <c r="F8" s="379">
        <f>[1]CONSOLIDADO!G60</f>
        <v>143043834</v>
      </c>
      <c r="G8" s="378">
        <f t="shared" si="0"/>
        <v>0.20976414484248315</v>
      </c>
    </row>
    <row r="9" spans="1:7" ht="36" x14ac:dyDescent="0.2">
      <c r="A9" s="17">
        <v>6</v>
      </c>
      <c r="B9" s="351" t="s">
        <v>69</v>
      </c>
      <c r="C9" s="375">
        <v>3</v>
      </c>
      <c r="D9" s="376">
        <f>[1]CONSOLIDADO!E61</f>
        <v>0.67</v>
      </c>
      <c r="E9" s="379">
        <f>[1]CONSOLIDADO!F61</f>
        <v>6732206528</v>
      </c>
      <c r="F9" s="379">
        <f>[1]CONSOLIDADO!G61</f>
        <v>3007869130.4699998</v>
      </c>
      <c r="G9" s="378">
        <f t="shared" si="0"/>
        <v>0.4467880059769313</v>
      </c>
    </row>
    <row r="10" spans="1:7" ht="36" x14ac:dyDescent="0.2">
      <c r="A10" s="17">
        <v>7</v>
      </c>
      <c r="B10" s="351" t="s">
        <v>70</v>
      </c>
      <c r="C10" s="375">
        <v>1</v>
      </c>
      <c r="D10" s="376">
        <f>[1]CONSOLIDADO!E62</f>
        <v>0.75</v>
      </c>
      <c r="E10" s="379">
        <f>[1]CONSOLIDADO!F62</f>
        <v>420000000</v>
      </c>
      <c r="F10" s="379">
        <f>[1]CONSOLIDADO!G62</f>
        <v>326794266</v>
      </c>
      <c r="G10" s="378">
        <f t="shared" si="0"/>
        <v>0.77808158571428576</v>
      </c>
    </row>
    <row r="11" spans="1:7" ht="36" x14ac:dyDescent="0.2">
      <c r="A11" s="17">
        <v>8</v>
      </c>
      <c r="B11" s="351" t="s">
        <v>71</v>
      </c>
      <c r="C11" s="375">
        <v>3</v>
      </c>
      <c r="D11" s="376">
        <f>[1]CONSOLIDADO!E63</f>
        <v>0.56000000000000005</v>
      </c>
      <c r="E11" s="379">
        <f>[1]CONSOLIDADO!F63</f>
        <v>385420500</v>
      </c>
      <c r="F11" s="379">
        <f>[1]CONSOLIDADO!G63</f>
        <v>304509666</v>
      </c>
      <c r="G11" s="378">
        <f t="shared" si="0"/>
        <v>0.79007127539920685</v>
      </c>
    </row>
    <row r="12" spans="1:7" ht="54" x14ac:dyDescent="0.2">
      <c r="A12" s="17">
        <v>9</v>
      </c>
      <c r="B12" s="351" t="s">
        <v>72</v>
      </c>
      <c r="C12" s="375">
        <v>2</v>
      </c>
      <c r="D12" s="376">
        <f>[1]CONSOLIDADO!E64</f>
        <v>1</v>
      </c>
      <c r="E12" s="379">
        <f>[1]CONSOLIDADO!F64</f>
        <v>736336500</v>
      </c>
      <c r="F12" s="379">
        <f>[1]CONSOLIDADO!G64</f>
        <v>588124565</v>
      </c>
      <c r="G12" s="378">
        <f t="shared" si="0"/>
        <v>0.79871711506899357</v>
      </c>
    </row>
    <row r="13" spans="1:7" ht="43.5" customHeight="1" x14ac:dyDescent="0.2">
      <c r="A13" s="17">
        <v>10</v>
      </c>
      <c r="B13" s="351" t="s">
        <v>73</v>
      </c>
      <c r="C13" s="375">
        <v>4</v>
      </c>
      <c r="D13" s="380">
        <f>[1]CONSOLIDADO!E65</f>
        <v>0.51</v>
      </c>
      <c r="E13" s="379">
        <f>[1]CONSOLIDADO!F65</f>
        <v>48000000</v>
      </c>
      <c r="F13" s="379">
        <f>[1]CONSOLIDADO!G65</f>
        <v>30300000</v>
      </c>
      <c r="G13" s="378">
        <f t="shared" si="0"/>
        <v>0.63124999999999998</v>
      </c>
    </row>
    <row r="14" spans="1:7" ht="36" x14ac:dyDescent="0.2">
      <c r="A14" s="17">
        <v>11</v>
      </c>
      <c r="B14" s="351" t="s">
        <v>74</v>
      </c>
      <c r="C14" s="375">
        <v>4</v>
      </c>
      <c r="D14" s="376">
        <f>[1]CONSOLIDADO!E66</f>
        <v>1</v>
      </c>
      <c r="E14" s="379">
        <f>[1]CONSOLIDADO!F66</f>
        <v>115740000</v>
      </c>
      <c r="F14" s="379">
        <f>[1]CONSOLIDADO!G66</f>
        <v>57031866</v>
      </c>
      <c r="G14" s="378">
        <f t="shared" si="0"/>
        <v>0.49275847589424571</v>
      </c>
    </row>
    <row r="15" spans="1:7" ht="54" x14ac:dyDescent="0.2">
      <c r="A15" s="17">
        <v>12</v>
      </c>
      <c r="B15" s="351" t="s">
        <v>75</v>
      </c>
      <c r="C15" s="375">
        <v>3</v>
      </c>
      <c r="D15" s="380">
        <f>[1]CONSOLIDADO!E67</f>
        <v>0.56000000000000005</v>
      </c>
      <c r="E15" s="379">
        <f>[1]CONSOLIDADO!F67</f>
        <v>70415000</v>
      </c>
      <c r="F15" s="379">
        <f>[1]CONSOLIDADO!G67</f>
        <v>68005733</v>
      </c>
      <c r="G15" s="378">
        <f t="shared" si="0"/>
        <v>0.96578474756798982</v>
      </c>
    </row>
    <row r="16" spans="1:7" ht="18" x14ac:dyDescent="0.2">
      <c r="A16" s="17">
        <v>13</v>
      </c>
      <c r="B16" s="351" t="s">
        <v>76</v>
      </c>
      <c r="C16" s="375">
        <v>3</v>
      </c>
      <c r="D16" s="380">
        <f>[1]CONSOLIDADO!E68</f>
        <v>1</v>
      </c>
      <c r="E16" s="379">
        <f>[1]CONSOLIDADO!F68</f>
        <v>340000000</v>
      </c>
      <c r="F16" s="379">
        <f>[1]CONSOLIDADO!G68</f>
        <v>144500000</v>
      </c>
      <c r="G16" s="378">
        <f t="shared" si="0"/>
        <v>0.42499999999999999</v>
      </c>
    </row>
    <row r="17" spans="1:9" ht="76.5" customHeight="1" thickBot="1" x14ac:dyDescent="0.25">
      <c r="A17" s="17">
        <v>14</v>
      </c>
      <c r="B17" s="360" t="s">
        <v>77</v>
      </c>
      <c r="C17" s="381">
        <v>4</v>
      </c>
      <c r="D17" s="382">
        <f>[1]CONSOLIDADO!E69</f>
        <v>0.64</v>
      </c>
      <c r="E17" s="383">
        <f>[1]CONSOLIDADO!F69</f>
        <v>7827030998</v>
      </c>
      <c r="F17" s="383">
        <f>[1]CONSOLIDADO!G69</f>
        <v>1503751017.2</v>
      </c>
      <c r="G17" s="384">
        <f t="shared" si="0"/>
        <v>0.19212278801300847</v>
      </c>
    </row>
    <row r="18" spans="1:9" ht="18.75" customHeight="1" thickBot="1" x14ac:dyDescent="0.25">
      <c r="A18" s="17"/>
      <c r="B18" s="385" t="s">
        <v>53</v>
      </c>
      <c r="C18" s="386">
        <f>SUM(C4:C17)</f>
        <v>48</v>
      </c>
      <c r="D18" s="387">
        <f>SUM(D4:D17)/13</f>
        <v>0.80230769230769239</v>
      </c>
      <c r="E18" s="388">
        <f>SUM(E4:E17)</f>
        <v>17940726885</v>
      </c>
      <c r="F18" s="388">
        <f>SUM(F4:F17)</f>
        <v>6528752569.6699991</v>
      </c>
      <c r="G18" s="389">
        <f>F18/E18</f>
        <v>0.36390680330397324</v>
      </c>
    </row>
    <row r="19" spans="1:9" ht="18.75" hidden="1" customHeight="1" x14ac:dyDescent="0.2">
      <c r="A19" s="17"/>
      <c r="B19" s="228"/>
      <c r="C19" s="229"/>
      <c r="D19" s="98">
        <v>1</v>
      </c>
      <c r="E19" s="101"/>
      <c r="F19" s="101"/>
      <c r="G19" s="75">
        <v>1</v>
      </c>
    </row>
    <row r="20" spans="1:9" ht="18.75" hidden="1" customHeight="1" x14ac:dyDescent="0.2">
      <c r="A20" s="227"/>
      <c r="B20" s="230"/>
      <c r="C20" s="230"/>
      <c r="D20" s="98">
        <v>0</v>
      </c>
      <c r="E20" s="74"/>
      <c r="F20" s="74"/>
      <c r="G20" s="217">
        <v>0</v>
      </c>
      <c r="H20" s="231"/>
    </row>
    <row r="21" spans="1:9" ht="18.75" customHeight="1" thickBot="1" x14ac:dyDescent="0.25">
      <c r="A21" s="227"/>
      <c r="B21" s="230"/>
      <c r="C21" s="230"/>
      <c r="D21" s="230"/>
      <c r="E21" s="74"/>
      <c r="F21" s="74"/>
      <c r="G21" s="75"/>
      <c r="H21" s="231"/>
    </row>
    <row r="22" spans="1:9" ht="13.5" thickBot="1" x14ac:dyDescent="0.25">
      <c r="B22" s="230"/>
      <c r="C22" s="230"/>
      <c r="D22" s="230"/>
      <c r="E22" s="214" t="s">
        <v>13</v>
      </c>
      <c r="F22" s="215" t="s">
        <v>14</v>
      </c>
      <c r="G22" s="216" t="s">
        <v>15</v>
      </c>
    </row>
    <row r="23" spans="1:9" x14ac:dyDescent="0.2">
      <c r="B23" s="232"/>
      <c r="C23" s="232"/>
      <c r="D23" s="232"/>
      <c r="E23" s="151" t="s">
        <v>326</v>
      </c>
      <c r="F23" s="152">
        <v>27</v>
      </c>
      <c r="G23" s="23">
        <f>F23/F26</f>
        <v>0.5625</v>
      </c>
    </row>
    <row r="24" spans="1:9" x14ac:dyDescent="0.2">
      <c r="E24" s="153" t="s">
        <v>325</v>
      </c>
      <c r="F24" s="154">
        <v>8</v>
      </c>
      <c r="G24" s="23">
        <f>F24/F26</f>
        <v>0.16666666666666666</v>
      </c>
    </row>
    <row r="25" spans="1:9" ht="13.5" thickBot="1" x14ac:dyDescent="0.25">
      <c r="E25" s="153" t="s">
        <v>321</v>
      </c>
      <c r="F25" s="233">
        <v>13</v>
      </c>
      <c r="G25" s="76">
        <f>F25/F26</f>
        <v>0.27083333333333331</v>
      </c>
    </row>
    <row r="26" spans="1:9" ht="13.5" thickBot="1" x14ac:dyDescent="0.25">
      <c r="E26" s="234" t="s">
        <v>17</v>
      </c>
      <c r="F26" s="235">
        <f>SUM(F23:F25)</f>
        <v>48</v>
      </c>
      <c r="G26" s="50"/>
    </row>
    <row r="27" spans="1:9" ht="13.5" thickBot="1" x14ac:dyDescent="0.25">
      <c r="E27" s="39"/>
      <c r="F27" s="39"/>
      <c r="G27" s="37"/>
    </row>
    <row r="28" spans="1:9" ht="13.5" thickBot="1" x14ac:dyDescent="0.25">
      <c r="E28" s="745" t="s">
        <v>26</v>
      </c>
      <c r="F28" s="746"/>
      <c r="G28" s="747"/>
    </row>
    <row r="29" spans="1:9" ht="13.5" thickBot="1" x14ac:dyDescent="0.25">
      <c r="E29" s="163" t="s">
        <v>3</v>
      </c>
      <c r="F29" s="164" t="s">
        <v>4</v>
      </c>
      <c r="G29" s="30" t="s">
        <v>214</v>
      </c>
    </row>
    <row r="30" spans="1:9" ht="13.5" thickBot="1" x14ac:dyDescent="0.25">
      <c r="E30" s="28">
        <f>E18</f>
        <v>17940726885</v>
      </c>
      <c r="F30" s="165">
        <f>F18</f>
        <v>6528752569.6699991</v>
      </c>
      <c r="G30" s="29">
        <f>G18</f>
        <v>0.36390680330397324</v>
      </c>
    </row>
    <row r="31" spans="1:9" x14ac:dyDescent="0.2">
      <c r="I31" s="236"/>
    </row>
  </sheetData>
  <autoFilter ref="G2:G31"/>
  <mergeCells count="2">
    <mergeCell ref="B2:G2"/>
    <mergeCell ref="E28:G28"/>
  </mergeCells>
  <conditionalFormatting sqref="D12:D19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:G19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0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min"/>
        <cfvo type="percent" val="25"/>
        <cfvo type="percent" val="100"/>
        <color rgb="FFFF0000"/>
        <color rgb="FFFFFF00"/>
        <color rgb="FF92D050"/>
      </colorScale>
    </cfRule>
  </conditionalFormatting>
  <conditionalFormatting sqref="D4:D19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19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0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7"/>
  <sheetViews>
    <sheetView view="pageBreakPreview" topLeftCell="A19" zoomScaleNormal="68" zoomScaleSheetLayoutView="100" workbookViewId="0">
      <selection activeCell="A22" sqref="A22:XFD23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210" customWidth="1"/>
    <col min="3" max="4" width="20.5703125" style="210" customWidth="1"/>
    <col min="5" max="5" width="28.28515625" style="16" bestFit="1" customWidth="1"/>
    <col min="6" max="6" width="28.140625" style="16" bestFit="1" customWidth="1"/>
    <col min="7" max="7" width="20" style="15" customWidth="1"/>
    <col min="8" max="8" width="16.42578125" style="15" customWidth="1"/>
    <col min="9" max="9" width="22.42578125" style="15" customWidth="1"/>
    <col min="10" max="16384" width="11.42578125" style="15"/>
  </cols>
  <sheetData>
    <row r="1" spans="1:7" ht="13.5" thickBot="1" x14ac:dyDescent="0.25"/>
    <row r="2" spans="1:7" ht="65.25" customHeight="1" thickBot="1" x14ac:dyDescent="0.25">
      <c r="B2" s="742" t="s">
        <v>300</v>
      </c>
      <c r="C2" s="743"/>
      <c r="D2" s="743"/>
      <c r="E2" s="743"/>
      <c r="F2" s="743"/>
      <c r="G2" s="744"/>
    </row>
    <row r="3" spans="1:7" ht="99" customHeight="1" thickBot="1" x14ac:dyDescent="0.25">
      <c r="B3" s="78" t="s">
        <v>1</v>
      </c>
      <c r="C3" s="140" t="s">
        <v>55</v>
      </c>
      <c r="D3" s="140" t="s">
        <v>63</v>
      </c>
      <c r="E3" s="141" t="s">
        <v>57</v>
      </c>
      <c r="F3" s="142" t="s">
        <v>58</v>
      </c>
      <c r="G3" s="143" t="s">
        <v>56</v>
      </c>
    </row>
    <row r="4" spans="1:7" ht="23.25" customHeight="1" x14ac:dyDescent="0.2">
      <c r="A4" s="17">
        <v>1</v>
      </c>
      <c r="B4" s="391" t="s">
        <v>278</v>
      </c>
      <c r="C4" s="371">
        <f>[2]CONSOLIDADO!F287</f>
        <v>8</v>
      </c>
      <c r="D4" s="372">
        <f>[2]CONSOLIDADO!G287</f>
        <v>0.65</v>
      </c>
      <c r="E4" s="392">
        <f>[2]CONSOLIDADO!H287</f>
        <v>62700000</v>
      </c>
      <c r="F4" s="392">
        <f>[2]CONSOLIDADO!I287</f>
        <v>8431368</v>
      </c>
      <c r="G4" s="393">
        <f>F4/E4</f>
        <v>0.13447157894736841</v>
      </c>
    </row>
    <row r="5" spans="1:7" ht="25.5" customHeight="1" x14ac:dyDescent="0.2">
      <c r="A5" s="17">
        <v>2</v>
      </c>
      <c r="B5" s="394" t="s">
        <v>279</v>
      </c>
      <c r="C5" s="375">
        <f>[2]CONSOLIDADO!F288</f>
        <v>14</v>
      </c>
      <c r="D5" s="376">
        <f>[2]CONSOLIDADO!G288</f>
        <v>0.54</v>
      </c>
      <c r="E5" s="395">
        <f>[2]CONSOLIDADO!H288</f>
        <v>207518266</v>
      </c>
      <c r="F5" s="395">
        <f>[2]CONSOLIDADO!I288</f>
        <v>99473229</v>
      </c>
      <c r="G5" s="396">
        <f t="shared" ref="G5:G21" si="0">F5/E5</f>
        <v>0.47934685903745938</v>
      </c>
    </row>
    <row r="6" spans="1:7" ht="30" customHeight="1" x14ac:dyDescent="0.2">
      <c r="A6" s="17">
        <v>3</v>
      </c>
      <c r="B6" s="394" t="s">
        <v>280</v>
      </c>
      <c r="C6" s="375">
        <f>[2]CONSOLIDADO!F289</f>
        <v>12</v>
      </c>
      <c r="D6" s="376">
        <f>[2]CONSOLIDADO!G289</f>
        <v>0.6</v>
      </c>
      <c r="E6" s="395">
        <f>[2]CONSOLIDADO!H289</f>
        <v>169400000</v>
      </c>
      <c r="F6" s="395">
        <f>[2]CONSOLIDADO!I289</f>
        <v>115415925</v>
      </c>
      <c r="G6" s="396">
        <f t="shared" si="0"/>
        <v>0.6813218713105077</v>
      </c>
    </row>
    <row r="7" spans="1:7" ht="28.5" customHeight="1" x14ac:dyDescent="0.2">
      <c r="A7" s="17">
        <v>4</v>
      </c>
      <c r="B7" s="397" t="s">
        <v>281</v>
      </c>
      <c r="C7" s="375">
        <f>[2]CONSOLIDADO!F290</f>
        <v>24</v>
      </c>
      <c r="D7" s="376">
        <f>[2]CONSOLIDADO!G290</f>
        <v>0.66</v>
      </c>
      <c r="E7" s="395">
        <f>[2]CONSOLIDADO!H290</f>
        <v>208017000</v>
      </c>
      <c r="F7" s="395">
        <f>[2]CONSOLIDADO!I290</f>
        <v>64046818</v>
      </c>
      <c r="G7" s="396">
        <f t="shared" si="0"/>
        <v>0.30789222996197424</v>
      </c>
    </row>
    <row r="8" spans="1:7" ht="33" customHeight="1" x14ac:dyDescent="0.2">
      <c r="A8" s="17">
        <v>5</v>
      </c>
      <c r="B8" s="397" t="s">
        <v>282</v>
      </c>
      <c r="C8" s="398">
        <f>[2]CONSOLIDADO!F291</f>
        <v>19</v>
      </c>
      <c r="D8" s="376">
        <f>[2]CONSOLIDADO!G291</f>
        <v>0.59</v>
      </c>
      <c r="E8" s="395">
        <f>[2]CONSOLIDADO!H291</f>
        <v>230418095</v>
      </c>
      <c r="F8" s="395">
        <f>[2]CONSOLIDADO!I291</f>
        <v>120598839</v>
      </c>
      <c r="G8" s="396">
        <f t="shared" si="0"/>
        <v>0.52339135517980917</v>
      </c>
    </row>
    <row r="9" spans="1:7" ht="30.75" customHeight="1" x14ac:dyDescent="0.2">
      <c r="A9" s="17">
        <v>6</v>
      </c>
      <c r="B9" s="397" t="s">
        <v>283</v>
      </c>
      <c r="C9" s="375">
        <f>[2]CONSOLIDADO!F292</f>
        <v>19</v>
      </c>
      <c r="D9" s="376">
        <f>[2]CONSOLIDADO!G292</f>
        <v>0.45</v>
      </c>
      <c r="E9" s="395">
        <f>[2]CONSOLIDADO!H292</f>
        <v>75000000</v>
      </c>
      <c r="F9" s="395">
        <f>[2]CONSOLIDADO!I292</f>
        <v>60499998</v>
      </c>
      <c r="G9" s="396">
        <f t="shared" si="0"/>
        <v>0.80666663999999999</v>
      </c>
    </row>
    <row r="10" spans="1:7" ht="28.5" customHeight="1" x14ac:dyDescent="0.2">
      <c r="A10" s="17">
        <v>7</v>
      </c>
      <c r="B10" s="397" t="s">
        <v>284</v>
      </c>
      <c r="C10" s="399">
        <f>[2]CONSOLIDADO!F293</f>
        <v>22</v>
      </c>
      <c r="D10" s="376">
        <f>[2]CONSOLIDADO!G293</f>
        <v>0.62</v>
      </c>
      <c r="E10" s="400">
        <f>[2]CONSOLIDADO!H293</f>
        <v>382767000</v>
      </c>
      <c r="F10" s="400">
        <f>[2]CONSOLIDADO!I293</f>
        <v>133993484</v>
      </c>
      <c r="G10" s="396">
        <f t="shared" si="0"/>
        <v>0.35006540271235503</v>
      </c>
    </row>
    <row r="11" spans="1:7" ht="24.75" customHeight="1" x14ac:dyDescent="0.2">
      <c r="A11" s="17">
        <v>8</v>
      </c>
      <c r="B11" s="397" t="s">
        <v>285</v>
      </c>
      <c r="C11" s="375">
        <f>[2]CONSOLIDADO!F294</f>
        <v>7</v>
      </c>
      <c r="D11" s="376">
        <f>[2]CONSOLIDADO!G294</f>
        <v>0.67</v>
      </c>
      <c r="E11" s="400">
        <f>[2]CONSOLIDADO!H294</f>
        <v>6049257892.46</v>
      </c>
      <c r="F11" s="400">
        <f>[2]CONSOLIDADO!I294</f>
        <v>2568064712.6599998</v>
      </c>
      <c r="G11" s="396">
        <f t="shared" si="0"/>
        <v>0.42452557955264608</v>
      </c>
    </row>
    <row r="12" spans="1:7" ht="34.5" customHeight="1" x14ac:dyDescent="0.2">
      <c r="A12" s="17">
        <v>9</v>
      </c>
      <c r="B12" s="397" t="s">
        <v>286</v>
      </c>
      <c r="C12" s="375">
        <f>[2]CONSOLIDADO!F295</f>
        <v>25</v>
      </c>
      <c r="D12" s="376">
        <f>[2]CONSOLIDADO!G295</f>
        <v>0.7</v>
      </c>
      <c r="E12" s="395">
        <f>[2]CONSOLIDADO!H295</f>
        <v>622412493</v>
      </c>
      <c r="F12" s="395">
        <f>[2]CONSOLIDADO!I295</f>
        <v>257859159</v>
      </c>
      <c r="G12" s="396">
        <f t="shared" si="0"/>
        <v>0.41428981889025163</v>
      </c>
    </row>
    <row r="13" spans="1:7" ht="30" customHeight="1" x14ac:dyDescent="0.2">
      <c r="A13" s="17">
        <v>10</v>
      </c>
      <c r="B13" s="397" t="s">
        <v>287</v>
      </c>
      <c r="C13" s="375">
        <f>[2]CONSOLIDADO!F296</f>
        <v>22</v>
      </c>
      <c r="D13" s="376">
        <f>[2]CONSOLIDADO!G296</f>
        <v>0.52</v>
      </c>
      <c r="E13" s="395">
        <f>[2]CONSOLIDADO!H296</f>
        <v>324324000</v>
      </c>
      <c r="F13" s="395">
        <f>[2]CONSOLIDADO!I296</f>
        <v>135440150</v>
      </c>
      <c r="G13" s="396">
        <f t="shared" si="0"/>
        <v>0.41760754677421347</v>
      </c>
    </row>
    <row r="14" spans="1:7" ht="28.5" customHeight="1" x14ac:dyDescent="0.2">
      <c r="A14" s="17">
        <v>11</v>
      </c>
      <c r="B14" s="397" t="s">
        <v>288</v>
      </c>
      <c r="C14" s="375">
        <f>[2]CONSOLIDADO!F297</f>
        <v>27</v>
      </c>
      <c r="D14" s="376">
        <f>[2]CONSOLIDADO!G297</f>
        <v>0.55000000000000004</v>
      </c>
      <c r="E14" s="400">
        <f>[2]CONSOLIDADO!H297</f>
        <v>181200000</v>
      </c>
      <c r="F14" s="400">
        <f>[2]CONSOLIDADO!I297</f>
        <v>98017213</v>
      </c>
      <c r="G14" s="396">
        <f t="shared" si="0"/>
        <v>0.54093384657836641</v>
      </c>
    </row>
    <row r="15" spans="1:7" ht="26.25" customHeight="1" x14ac:dyDescent="0.2">
      <c r="A15" s="17">
        <v>12</v>
      </c>
      <c r="B15" s="397" t="s">
        <v>289</v>
      </c>
      <c r="C15" s="375">
        <f>[2]CONSOLIDADO!F298</f>
        <v>1</v>
      </c>
      <c r="D15" s="376">
        <f>[2]CONSOLIDADO!G298</f>
        <v>0.75</v>
      </c>
      <c r="E15" s="395">
        <f>[2]CONSOLIDADO!H298</f>
        <v>220530000</v>
      </c>
      <c r="F15" s="395">
        <f>[2]CONSOLIDADO!I298</f>
        <v>153220000</v>
      </c>
      <c r="G15" s="396">
        <f t="shared" si="0"/>
        <v>0.69478075545277285</v>
      </c>
    </row>
    <row r="16" spans="1:7" ht="26.25" customHeight="1" x14ac:dyDescent="0.2">
      <c r="A16" s="17">
        <v>13</v>
      </c>
      <c r="B16" s="394" t="s">
        <v>290</v>
      </c>
      <c r="C16" s="401">
        <f>[2]CONSOLIDADO!F299</f>
        <v>24</v>
      </c>
      <c r="D16" s="376">
        <f>[2]CONSOLIDADO!G299</f>
        <v>0.51</v>
      </c>
      <c r="E16" s="395">
        <f>[2]CONSOLIDADO!H299</f>
        <v>294025000</v>
      </c>
      <c r="F16" s="395">
        <f>[2]CONSOLIDADO!I299</f>
        <v>183041665</v>
      </c>
      <c r="G16" s="396">
        <f t="shared" si="0"/>
        <v>0.62253776039452424</v>
      </c>
    </row>
    <row r="17" spans="1:9" ht="28.5" customHeight="1" x14ac:dyDescent="0.2">
      <c r="A17" s="17">
        <v>14</v>
      </c>
      <c r="B17" s="394" t="s">
        <v>291</v>
      </c>
      <c r="C17" s="401">
        <f>[2]CONSOLIDADO!F300</f>
        <v>7</v>
      </c>
      <c r="D17" s="376">
        <f>[2]CONSOLIDADO!G300</f>
        <v>0.45</v>
      </c>
      <c r="E17" s="395">
        <f>[2]CONSOLIDADO!H300</f>
        <v>110715787</v>
      </c>
      <c r="F17" s="395">
        <f>[2]CONSOLIDADO!I300</f>
        <v>26400000</v>
      </c>
      <c r="G17" s="396">
        <f t="shared" si="0"/>
        <v>0.2384483795431992</v>
      </c>
    </row>
    <row r="18" spans="1:9" ht="39.75" customHeight="1" x14ac:dyDescent="0.2">
      <c r="A18" s="17">
        <v>15</v>
      </c>
      <c r="B18" s="394" t="s">
        <v>292</v>
      </c>
      <c r="C18" s="401">
        <f>[2]CONSOLIDADO!F301</f>
        <v>6</v>
      </c>
      <c r="D18" s="376">
        <f>[2]CONSOLIDADO!G301</f>
        <v>0.5</v>
      </c>
      <c r="E18" s="395">
        <f>[2]CONSOLIDADO!H301</f>
        <v>2767584761</v>
      </c>
      <c r="F18" s="395">
        <f>[2]CONSOLIDADO!I301</f>
        <v>0</v>
      </c>
      <c r="G18" s="396">
        <f t="shared" si="0"/>
        <v>0</v>
      </c>
    </row>
    <row r="19" spans="1:9" ht="30" customHeight="1" x14ac:dyDescent="0.2">
      <c r="A19" s="17">
        <v>16</v>
      </c>
      <c r="B19" s="394" t="s">
        <v>293</v>
      </c>
      <c r="C19" s="375">
        <f>[2]CONSOLIDADO!F302</f>
        <v>16</v>
      </c>
      <c r="D19" s="376">
        <f>[2]CONSOLIDADO!G302</f>
        <v>0.84</v>
      </c>
      <c r="E19" s="395">
        <f>[2]CONSOLIDADO!H302</f>
        <v>282173094</v>
      </c>
      <c r="F19" s="395">
        <f>[2]CONSOLIDADO!I302</f>
        <v>236741665</v>
      </c>
      <c r="G19" s="396">
        <f t="shared" si="0"/>
        <v>0.83899446840952174</v>
      </c>
      <c r="I19" s="417"/>
    </row>
    <row r="20" spans="1:9" ht="30" customHeight="1" thickBot="1" x14ac:dyDescent="0.25">
      <c r="A20" s="17">
        <v>17</v>
      </c>
      <c r="B20" s="394" t="s">
        <v>294</v>
      </c>
      <c r="C20" s="402">
        <f>[2]CONSOLIDADO!F303</f>
        <v>20</v>
      </c>
      <c r="D20" s="382">
        <f>[2]CONSOLIDADO!G303</f>
        <v>0.35</v>
      </c>
      <c r="E20" s="403">
        <f>[2]CONSOLIDADO!H303</f>
        <v>226252969</v>
      </c>
      <c r="F20" s="403">
        <f>[2]CONSOLIDADO!I303</f>
        <v>156791668</v>
      </c>
      <c r="G20" s="404">
        <f t="shared" si="0"/>
        <v>0.6929927536111139</v>
      </c>
    </row>
    <row r="21" spans="1:9" ht="25.5" customHeight="1" thickBot="1" x14ac:dyDescent="0.25">
      <c r="B21" s="365" t="s">
        <v>0</v>
      </c>
      <c r="C21" s="405">
        <f>SUM(C4:C20)</f>
        <v>273</v>
      </c>
      <c r="D21" s="406">
        <f>SUM(D4:D20)/17</f>
        <v>0.58529411764705874</v>
      </c>
      <c r="E21" s="416">
        <f>SUM(E3:E20)</f>
        <v>12414296357.459999</v>
      </c>
      <c r="F21" s="416">
        <f>SUM(F3:F20)</f>
        <v>4418035893.6599998</v>
      </c>
      <c r="G21" s="407">
        <f t="shared" si="0"/>
        <v>0.35588290841833448</v>
      </c>
    </row>
    <row r="22" spans="1:9" hidden="1" x14ac:dyDescent="0.2">
      <c r="B22" s="25"/>
      <c r="C22" s="36"/>
      <c r="D22" s="102">
        <v>1</v>
      </c>
      <c r="E22" s="36"/>
      <c r="F22" s="224"/>
      <c r="G22" s="36">
        <v>1</v>
      </c>
    </row>
    <row r="23" spans="1:9" ht="11.25" hidden="1" customHeight="1" x14ac:dyDescent="0.2">
      <c r="B23" s="25"/>
      <c r="C23" s="25"/>
      <c r="D23" s="218">
        <v>0</v>
      </c>
      <c r="E23" s="224"/>
      <c r="F23" s="224"/>
      <c r="G23" s="225">
        <v>0</v>
      </c>
    </row>
    <row r="24" spans="1:9" ht="17.100000000000001" customHeight="1" thickBot="1" x14ac:dyDescent="0.25">
      <c r="B24" s="25"/>
      <c r="C24" s="25"/>
      <c r="D24" s="25"/>
      <c r="E24" s="224"/>
      <c r="F24" s="224"/>
      <c r="G24" s="36"/>
    </row>
    <row r="25" spans="1:9" ht="14.25" customHeight="1" thickBot="1" x14ac:dyDescent="0.25">
      <c r="E25" s="745" t="s">
        <v>16</v>
      </c>
      <c r="F25" s="746"/>
      <c r="G25" s="747"/>
    </row>
    <row r="26" spans="1:9" ht="14.25" customHeight="1" thickBot="1" x14ac:dyDescent="0.25">
      <c r="E26" s="214" t="s">
        <v>13</v>
      </c>
      <c r="F26" s="215" t="s">
        <v>14</v>
      </c>
      <c r="G26" s="216" t="s">
        <v>15</v>
      </c>
    </row>
    <row r="27" spans="1:9" ht="15" customHeight="1" x14ac:dyDescent="0.2">
      <c r="E27" s="151" t="s">
        <v>326</v>
      </c>
      <c r="F27" s="152">
        <v>95</v>
      </c>
      <c r="G27" s="23">
        <f>F27/F30</f>
        <v>0.34798534798534797</v>
      </c>
    </row>
    <row r="28" spans="1:9" ht="14.25" customHeight="1" x14ac:dyDescent="0.2">
      <c r="E28" s="153" t="s">
        <v>325</v>
      </c>
      <c r="F28" s="154">
        <v>50</v>
      </c>
      <c r="G28" s="23">
        <f>F28/F30</f>
        <v>0.18315018315018314</v>
      </c>
    </row>
    <row r="29" spans="1:9" ht="14.25" customHeight="1" thickBot="1" x14ac:dyDescent="0.25">
      <c r="E29" s="153" t="s">
        <v>321</v>
      </c>
      <c r="F29" s="156">
        <v>128</v>
      </c>
      <c r="G29" s="23">
        <f>F29/F30</f>
        <v>0.46886446886446886</v>
      </c>
    </row>
    <row r="30" spans="1:9" ht="14.25" customHeight="1" thickBot="1" x14ac:dyDescent="0.25">
      <c r="E30" s="157" t="s">
        <v>17</v>
      </c>
      <c r="F30" s="158">
        <f>SUM(F27:F29)</f>
        <v>273</v>
      </c>
      <c r="G30" s="50"/>
    </row>
    <row r="31" spans="1:9" s="16" customFormat="1" ht="14.25" customHeight="1" thickBot="1" x14ac:dyDescent="0.25">
      <c r="A31" s="15"/>
      <c r="B31" s="226"/>
      <c r="C31" s="226"/>
      <c r="D31" s="226"/>
      <c r="E31" s="39"/>
      <c r="F31" s="39"/>
      <c r="G31" s="37"/>
    </row>
    <row r="32" spans="1:9" s="16" customFormat="1" ht="14.25" customHeight="1" thickBot="1" x14ac:dyDescent="0.25">
      <c r="A32" s="15"/>
      <c r="B32" s="226"/>
      <c r="C32" s="226"/>
      <c r="D32" s="226"/>
      <c r="E32" s="745" t="s">
        <v>18</v>
      </c>
      <c r="F32" s="746"/>
      <c r="G32" s="747"/>
    </row>
    <row r="33" spans="1:7" s="16" customFormat="1" ht="14.25" customHeight="1" thickBot="1" x14ac:dyDescent="0.25">
      <c r="A33" s="15"/>
      <c r="B33" s="226"/>
      <c r="C33" s="226"/>
      <c r="D33" s="226"/>
      <c r="E33" s="163" t="s">
        <v>3</v>
      </c>
      <c r="F33" s="164" t="s">
        <v>4</v>
      </c>
      <c r="G33" s="30" t="s">
        <v>214</v>
      </c>
    </row>
    <row r="34" spans="1:7" s="16" customFormat="1" ht="14.25" customHeight="1" thickBot="1" x14ac:dyDescent="0.25">
      <c r="A34" s="15"/>
      <c r="B34" s="226"/>
      <c r="C34" s="226"/>
      <c r="D34" s="226"/>
      <c r="E34" s="28">
        <f>E21</f>
        <v>12414296357.459999</v>
      </c>
      <c r="F34" s="165">
        <f>F21</f>
        <v>4418035893.6599998</v>
      </c>
      <c r="G34" s="29">
        <f>G21</f>
        <v>0.35588290841833448</v>
      </c>
    </row>
    <row r="35" spans="1:7" s="16" customFormat="1" ht="15" customHeight="1" x14ac:dyDescent="0.2">
      <c r="A35" s="15"/>
      <c r="B35" s="226"/>
      <c r="C35" s="226"/>
      <c r="D35" s="226"/>
      <c r="G35" s="15"/>
    </row>
    <row r="36" spans="1:7" s="16" customFormat="1" ht="14.25" customHeight="1" x14ac:dyDescent="0.2">
      <c r="A36" s="15"/>
      <c r="B36" s="226"/>
      <c r="C36" s="226"/>
      <c r="D36" s="226"/>
      <c r="G36" s="15"/>
    </row>
    <row r="37" spans="1:7" s="16" customFormat="1" ht="14.25" customHeight="1" x14ac:dyDescent="0.2">
      <c r="A37" s="15"/>
      <c r="B37" s="226"/>
      <c r="C37" s="226"/>
      <c r="D37" s="226"/>
      <c r="G37" s="15"/>
    </row>
  </sheetData>
  <mergeCells count="3">
    <mergeCell ref="B2:G2"/>
    <mergeCell ref="E25:G25"/>
    <mergeCell ref="E32:G32"/>
  </mergeCells>
  <conditionalFormatting sqref="G4:G22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2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3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23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1"/>
  <sheetViews>
    <sheetView view="pageBreakPreview" zoomScaleNormal="80" zoomScaleSheetLayoutView="100" workbookViewId="0">
      <selection activeCell="F66" sqref="F66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85546875" style="16" bestFit="1" customWidth="1"/>
    <col min="6" max="6" width="28.85546875" style="16" bestFit="1" customWidth="1"/>
    <col min="7" max="7" width="23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9.75" customHeight="1" thickBot="1" x14ac:dyDescent="0.25">
      <c r="B2" s="742" t="s">
        <v>301</v>
      </c>
      <c r="C2" s="743"/>
      <c r="D2" s="743"/>
      <c r="E2" s="743"/>
      <c r="F2" s="743"/>
      <c r="G2" s="744"/>
    </row>
    <row r="3" spans="1:7" ht="78.75" customHeight="1" thickBot="1" x14ac:dyDescent="0.25">
      <c r="B3" s="78" t="s">
        <v>1</v>
      </c>
      <c r="C3" s="140" t="s">
        <v>55</v>
      </c>
      <c r="D3" s="140" t="s">
        <v>63</v>
      </c>
      <c r="E3" s="141" t="s">
        <v>57</v>
      </c>
      <c r="F3" s="142" t="s">
        <v>58</v>
      </c>
      <c r="G3" s="143" t="s">
        <v>56</v>
      </c>
    </row>
    <row r="4" spans="1:7" ht="21.95" customHeight="1" x14ac:dyDescent="0.2">
      <c r="A4" s="17">
        <v>1</v>
      </c>
      <c r="B4" s="418" t="s">
        <v>142</v>
      </c>
      <c r="C4" s="419">
        <v>1</v>
      </c>
      <c r="D4" s="372">
        <f>[3]CONSOLIDADO!D115</f>
        <v>1</v>
      </c>
      <c r="E4" s="420">
        <f>[3]CONSOLIDADO!E115</f>
        <v>107352000</v>
      </c>
      <c r="F4" s="420">
        <f>[3]CONSOLIDADO!F115</f>
        <v>93399997</v>
      </c>
      <c r="G4" s="348">
        <f>F4/E4</f>
        <v>0.87003499701915199</v>
      </c>
    </row>
    <row r="5" spans="1:7" ht="21.95" customHeight="1" x14ac:dyDescent="0.2">
      <c r="A5" s="17">
        <v>2</v>
      </c>
      <c r="B5" s="421" t="s">
        <v>143</v>
      </c>
      <c r="C5" s="422">
        <v>1</v>
      </c>
      <c r="D5" s="376">
        <f>[3]CONSOLIDADO!D116</f>
        <v>1</v>
      </c>
      <c r="E5" s="423">
        <f>[3]CONSOLIDADO!E116</f>
        <v>81589000</v>
      </c>
      <c r="F5" s="423">
        <f>[3]CONSOLIDADO!F116</f>
        <v>40800000</v>
      </c>
      <c r="G5" s="356">
        <f>F5/E5</f>
        <v>0.50006741104805796</v>
      </c>
    </row>
    <row r="6" spans="1:7" ht="21.95" customHeight="1" x14ac:dyDescent="0.2">
      <c r="A6" s="17">
        <v>3</v>
      </c>
      <c r="B6" s="351" t="s">
        <v>144</v>
      </c>
      <c r="C6" s="422">
        <v>2</v>
      </c>
      <c r="D6" s="376">
        <f>[3]CONSOLIDADO!D117</f>
        <v>1</v>
      </c>
      <c r="E6" s="424">
        <f>[3]CONSOLIDADO!E117</f>
        <v>556415332</v>
      </c>
      <c r="F6" s="423">
        <f>[3]CONSOLIDADO!F117</f>
        <v>351266665</v>
      </c>
      <c r="G6" s="356">
        <f t="shared" ref="G6:G26" si="0">F6/E6</f>
        <v>0.63130299400161027</v>
      </c>
    </row>
    <row r="7" spans="1:7" ht="21.95" customHeight="1" x14ac:dyDescent="0.2">
      <c r="A7" s="17">
        <v>4</v>
      </c>
      <c r="B7" s="421" t="s">
        <v>145</v>
      </c>
      <c r="C7" s="422">
        <v>1</v>
      </c>
      <c r="D7" s="376">
        <f>[3]CONSOLIDADO!D118</f>
        <v>0.75</v>
      </c>
      <c r="E7" s="425">
        <f>[3]CONSOLIDADO!E118</f>
        <v>146152136194</v>
      </c>
      <c r="F7" s="426">
        <f>[3]CONSOLIDADO!F118</f>
        <v>97190219701.460007</v>
      </c>
      <c r="G7" s="356">
        <f t="shared" si="0"/>
        <v>0.66499349398801311</v>
      </c>
    </row>
    <row r="8" spans="1:7" ht="21.95" customHeight="1" x14ac:dyDescent="0.2">
      <c r="A8" s="17">
        <v>5</v>
      </c>
      <c r="B8" s="427" t="s">
        <v>51</v>
      </c>
      <c r="C8" s="422">
        <v>2</v>
      </c>
      <c r="D8" s="376">
        <f>[3]CONSOLIDADO!D119</f>
        <v>0.88</v>
      </c>
      <c r="E8" s="424">
        <f>[3]CONSOLIDADO!E119</f>
        <v>535276921</v>
      </c>
      <c r="F8" s="424">
        <f>[3]CONSOLIDADO!F119</f>
        <v>414643683</v>
      </c>
      <c r="G8" s="356">
        <f t="shared" si="0"/>
        <v>0.77463396371613791</v>
      </c>
    </row>
    <row r="9" spans="1:7" ht="21.95" customHeight="1" x14ac:dyDescent="0.2">
      <c r="A9" s="17">
        <v>6</v>
      </c>
      <c r="B9" s="351" t="s">
        <v>146</v>
      </c>
      <c r="C9" s="422">
        <v>2</v>
      </c>
      <c r="D9" s="376">
        <f>[3]CONSOLIDADO!D120</f>
        <v>0.76</v>
      </c>
      <c r="E9" s="424">
        <f>[3]CONSOLIDADO!E120</f>
        <v>85500000</v>
      </c>
      <c r="F9" s="424">
        <f>[3]CONSOLIDADO!F120</f>
        <v>76499999</v>
      </c>
      <c r="G9" s="356">
        <f t="shared" si="0"/>
        <v>0.8947368304093567</v>
      </c>
    </row>
    <row r="10" spans="1:7" ht="40.5" customHeight="1" x14ac:dyDescent="0.2">
      <c r="A10" s="17">
        <v>7</v>
      </c>
      <c r="B10" s="428" t="s">
        <v>147</v>
      </c>
      <c r="C10" s="422">
        <v>4</v>
      </c>
      <c r="D10" s="376">
        <f>[3]CONSOLIDADO!D121</f>
        <v>0.75</v>
      </c>
      <c r="E10" s="424">
        <f>[3]CONSOLIDADO!E121</f>
        <v>91000000</v>
      </c>
      <c r="F10" s="424">
        <f>[3]CONSOLIDADO!F121</f>
        <v>79000000</v>
      </c>
      <c r="G10" s="356">
        <f t="shared" si="0"/>
        <v>0.86813186813186816</v>
      </c>
    </row>
    <row r="11" spans="1:7" ht="44.25" customHeight="1" x14ac:dyDescent="0.2">
      <c r="A11" s="17">
        <v>8</v>
      </c>
      <c r="B11" s="351" t="s">
        <v>148</v>
      </c>
      <c r="C11" s="422">
        <v>8</v>
      </c>
      <c r="D11" s="376">
        <f>[3]CONSOLIDADO!D122</f>
        <v>0.67</v>
      </c>
      <c r="E11" s="424">
        <f>[3]CONSOLIDADO!E122</f>
        <v>165993731</v>
      </c>
      <c r="F11" s="424">
        <f>[3]CONSOLIDADO!F122</f>
        <v>141600000</v>
      </c>
      <c r="G11" s="356">
        <f t="shared" si="0"/>
        <v>0.85304426346076889</v>
      </c>
    </row>
    <row r="12" spans="1:7" ht="21.95" customHeight="1" x14ac:dyDescent="0.2">
      <c r="A12" s="17">
        <v>9</v>
      </c>
      <c r="B12" s="351" t="s">
        <v>149</v>
      </c>
      <c r="C12" s="422">
        <v>7</v>
      </c>
      <c r="D12" s="376">
        <f>[3]CONSOLIDADO!D123</f>
        <v>0.56999999999999995</v>
      </c>
      <c r="E12" s="424">
        <f>[3]CONSOLIDADO!E123</f>
        <v>323622290</v>
      </c>
      <c r="F12" s="424">
        <f>[3]CONSOLIDADO!F123</f>
        <v>301570000</v>
      </c>
      <c r="G12" s="356">
        <f t="shared" si="0"/>
        <v>0.93185793846276777</v>
      </c>
    </row>
    <row r="13" spans="1:7" ht="21.95" customHeight="1" x14ac:dyDescent="0.2">
      <c r="A13" s="17">
        <v>10</v>
      </c>
      <c r="B13" s="351" t="s">
        <v>150</v>
      </c>
      <c r="C13" s="422">
        <v>18</v>
      </c>
      <c r="D13" s="376">
        <f>[3]CONSOLIDADO!D124</f>
        <v>0.51</v>
      </c>
      <c r="E13" s="424">
        <f>[3]CONSOLIDADO!E124</f>
        <v>254955334</v>
      </c>
      <c r="F13" s="424">
        <f>[3]CONSOLIDADO!F124</f>
        <v>222400000</v>
      </c>
      <c r="G13" s="356">
        <f t="shared" si="0"/>
        <v>0.8723096571888157</v>
      </c>
    </row>
    <row r="14" spans="1:7" ht="21.95" customHeight="1" x14ac:dyDescent="0.2">
      <c r="A14" s="17">
        <v>11</v>
      </c>
      <c r="B14" s="351" t="s">
        <v>151</v>
      </c>
      <c r="C14" s="422">
        <v>2</v>
      </c>
      <c r="D14" s="376">
        <f>[3]CONSOLIDADO!D125</f>
        <v>0.75</v>
      </c>
      <c r="E14" s="424">
        <f>[3]CONSOLIDADO!E125</f>
        <v>370000000</v>
      </c>
      <c r="F14" s="424">
        <f>[3]CONSOLIDADO!F125</f>
        <v>370000000</v>
      </c>
      <c r="G14" s="356">
        <f t="shared" si="0"/>
        <v>1</v>
      </c>
    </row>
    <row r="15" spans="1:7" ht="39" customHeight="1" x14ac:dyDescent="0.2">
      <c r="A15" s="17">
        <v>12</v>
      </c>
      <c r="B15" s="351" t="s">
        <v>152</v>
      </c>
      <c r="C15" s="422">
        <v>4</v>
      </c>
      <c r="D15" s="376">
        <f>[3]CONSOLIDADO!D126</f>
        <v>0.44</v>
      </c>
      <c r="E15" s="424">
        <f>[3]CONSOLIDADO!E126</f>
        <v>226377500</v>
      </c>
      <c r="F15" s="424">
        <f>[3]CONSOLIDADO!F126</f>
        <v>174750000</v>
      </c>
      <c r="G15" s="356">
        <f t="shared" si="0"/>
        <v>0.77194067431613123</v>
      </c>
    </row>
    <row r="16" spans="1:7" ht="37.5" customHeight="1" x14ac:dyDescent="0.2">
      <c r="A16" s="17">
        <v>13</v>
      </c>
      <c r="B16" s="351" t="s">
        <v>153</v>
      </c>
      <c r="C16" s="422">
        <v>4</v>
      </c>
      <c r="D16" s="376">
        <f>[3]CONSOLIDADO!D127</f>
        <v>0.5</v>
      </c>
      <c r="E16" s="424">
        <f>[3]CONSOLIDADO!E127</f>
        <v>164397333</v>
      </c>
      <c r="F16" s="424">
        <f>[3]CONSOLIDADO!F127</f>
        <v>127600000</v>
      </c>
      <c r="G16" s="356">
        <f t="shared" si="0"/>
        <v>0.77616830925109959</v>
      </c>
    </row>
    <row r="17" spans="1:7" ht="36.75" customHeight="1" x14ac:dyDescent="0.2">
      <c r="A17" s="17">
        <v>14</v>
      </c>
      <c r="B17" s="351" t="s">
        <v>154</v>
      </c>
      <c r="C17" s="422">
        <v>7</v>
      </c>
      <c r="D17" s="376">
        <f>[3]CONSOLIDADO!D128</f>
        <v>0.55000000000000004</v>
      </c>
      <c r="E17" s="424">
        <f>[3]CONSOLIDADO!E128</f>
        <v>428833333</v>
      </c>
      <c r="F17" s="424">
        <f>[3]CONSOLIDADO!F128</f>
        <v>361800000</v>
      </c>
      <c r="G17" s="356">
        <f t="shared" si="0"/>
        <v>0.8436844157354717</v>
      </c>
    </row>
    <row r="18" spans="1:7" ht="21.95" customHeight="1" x14ac:dyDescent="0.2">
      <c r="A18" s="17">
        <v>15</v>
      </c>
      <c r="B18" s="351" t="s">
        <v>155</v>
      </c>
      <c r="C18" s="422">
        <v>4</v>
      </c>
      <c r="D18" s="376">
        <f>[3]CONSOLIDADO!D129</f>
        <v>0.38</v>
      </c>
      <c r="E18" s="424">
        <f>[3]CONSOLIDADO!E129</f>
        <v>633936291</v>
      </c>
      <c r="F18" s="424">
        <f>[3]CONSOLIDADO!F129</f>
        <v>595777099</v>
      </c>
      <c r="G18" s="356">
        <f t="shared" si="0"/>
        <v>0.93980595125764776</v>
      </c>
    </row>
    <row r="19" spans="1:7" ht="34.5" customHeight="1" x14ac:dyDescent="0.2">
      <c r="A19" s="17">
        <v>16</v>
      </c>
      <c r="B19" s="351" t="s">
        <v>156</v>
      </c>
      <c r="C19" s="422">
        <v>6</v>
      </c>
      <c r="D19" s="376">
        <f>[3]CONSOLIDADO!D130</f>
        <v>0.65</v>
      </c>
      <c r="E19" s="424">
        <f>[3]CONSOLIDADO!E130</f>
        <v>390771708</v>
      </c>
      <c r="F19" s="424">
        <f>[3]CONSOLIDADO!F130</f>
        <v>303840000</v>
      </c>
      <c r="G19" s="356">
        <f t="shared" si="0"/>
        <v>0.77753837798308567</v>
      </c>
    </row>
    <row r="20" spans="1:7" ht="37.5" customHeight="1" x14ac:dyDescent="0.2">
      <c r="A20" s="17">
        <v>17</v>
      </c>
      <c r="B20" s="351" t="s">
        <v>157</v>
      </c>
      <c r="C20" s="422">
        <v>9</v>
      </c>
      <c r="D20" s="376">
        <f>[3]CONSOLIDADO!D131</f>
        <v>0.62</v>
      </c>
      <c r="E20" s="424">
        <f>[3]CONSOLIDADO!E131</f>
        <v>294712000</v>
      </c>
      <c r="F20" s="424">
        <f>[3]CONSOLIDADO!F131</f>
        <v>206450000</v>
      </c>
      <c r="G20" s="356">
        <f t="shared" si="0"/>
        <v>0.70051440049947067</v>
      </c>
    </row>
    <row r="21" spans="1:7" ht="21.95" customHeight="1" x14ac:dyDescent="0.2">
      <c r="A21" s="17">
        <v>18</v>
      </c>
      <c r="B21" s="351" t="s">
        <v>158</v>
      </c>
      <c r="C21" s="422">
        <v>4</v>
      </c>
      <c r="D21" s="376">
        <f>[3]CONSOLIDADO!D132</f>
        <v>0.75</v>
      </c>
      <c r="E21" s="424">
        <f>[3]CONSOLIDADO!E132</f>
        <v>81154160</v>
      </c>
      <c r="F21" s="424">
        <f>[3]CONSOLIDADO!F132</f>
        <v>64206662</v>
      </c>
      <c r="G21" s="356">
        <f t="shared" si="0"/>
        <v>0.79116907870157238</v>
      </c>
    </row>
    <row r="22" spans="1:7" ht="33.6" customHeight="1" x14ac:dyDescent="0.2">
      <c r="A22" s="17">
        <v>19</v>
      </c>
      <c r="B22" s="351" t="s">
        <v>159</v>
      </c>
      <c r="C22" s="422">
        <v>9</v>
      </c>
      <c r="D22" s="376">
        <f>[3]CONSOLIDADO!D133</f>
        <v>0.71</v>
      </c>
      <c r="E22" s="424">
        <f>[3]CONSOLIDADO!E133</f>
        <v>1015459206</v>
      </c>
      <c r="F22" s="424">
        <f>[3]CONSOLIDADO!F133</f>
        <v>858290151</v>
      </c>
      <c r="G22" s="356">
        <f t="shared" si="0"/>
        <v>0.84522366425815831</v>
      </c>
    </row>
    <row r="23" spans="1:7" ht="40.5" customHeight="1" x14ac:dyDescent="0.2">
      <c r="A23" s="17">
        <v>20</v>
      </c>
      <c r="B23" s="351" t="s">
        <v>160</v>
      </c>
      <c r="C23" s="422">
        <v>8</v>
      </c>
      <c r="D23" s="376">
        <f>[3]CONSOLIDADO!D134</f>
        <v>0.72</v>
      </c>
      <c r="E23" s="424">
        <f>[3]CONSOLIDADO!E134</f>
        <v>197064000</v>
      </c>
      <c r="F23" s="424">
        <f>[3]CONSOLIDADO!F134</f>
        <v>171283333</v>
      </c>
      <c r="G23" s="356">
        <f t="shared" si="0"/>
        <v>0.86917617119311497</v>
      </c>
    </row>
    <row r="24" spans="1:7" ht="21.95" customHeight="1" x14ac:dyDescent="0.2">
      <c r="A24" s="17">
        <v>21</v>
      </c>
      <c r="B24" s="351" t="s">
        <v>161</v>
      </c>
      <c r="C24" s="422">
        <v>3</v>
      </c>
      <c r="D24" s="376">
        <f>[3]CONSOLIDADO!D135</f>
        <v>0.99</v>
      </c>
      <c r="E24" s="424">
        <f>[3]CONSOLIDADO!E135</f>
        <v>132744000</v>
      </c>
      <c r="F24" s="424">
        <f>[3]CONSOLIDADO!F135</f>
        <v>108200000</v>
      </c>
      <c r="G24" s="356">
        <f t="shared" si="0"/>
        <v>0.81510275417344669</v>
      </c>
    </row>
    <row r="25" spans="1:7" ht="35.25" customHeight="1" thickBot="1" x14ac:dyDescent="0.25">
      <c r="A25" s="17">
        <v>22</v>
      </c>
      <c r="B25" s="429" t="s">
        <v>162</v>
      </c>
      <c r="C25" s="430">
        <v>1</v>
      </c>
      <c r="D25" s="382">
        <f>[3]CONSOLIDADO!D136</f>
        <v>0.33</v>
      </c>
      <c r="E25" s="431">
        <f>[3]CONSOLIDADO!E136</f>
        <v>1447952600</v>
      </c>
      <c r="F25" s="431">
        <f>[3]CONSOLIDADO!F136</f>
        <v>997920000</v>
      </c>
      <c r="G25" s="364">
        <f t="shared" si="0"/>
        <v>0.68919383134503165</v>
      </c>
    </row>
    <row r="26" spans="1:7" ht="26.25" customHeight="1" thickBot="1" x14ac:dyDescent="0.25">
      <c r="B26" s="365" t="s">
        <v>0</v>
      </c>
      <c r="C26" s="432">
        <f>SUM(C4:C25)</f>
        <v>107</v>
      </c>
      <c r="D26" s="433">
        <f>SUM(D4:D25)/22</f>
        <v>0.69454545454545469</v>
      </c>
      <c r="E26" s="434">
        <f>SUM(E4:E25)</f>
        <v>153737242933</v>
      </c>
      <c r="F26" s="435">
        <f>SUM(F4:F25)</f>
        <v>103251517290.46001</v>
      </c>
      <c r="G26" s="369">
        <f t="shared" si="0"/>
        <v>0.67161030938650235</v>
      </c>
    </row>
    <row r="27" spans="1:7" ht="17.100000000000001" hidden="1" customHeight="1" x14ac:dyDescent="0.2">
      <c r="B27" s="219"/>
      <c r="C27" s="220"/>
      <c r="D27" s="221">
        <v>1</v>
      </c>
      <c r="E27" s="222"/>
      <c r="F27" s="38"/>
      <c r="G27" s="221">
        <v>1</v>
      </c>
    </row>
    <row r="28" spans="1:7" hidden="1" x14ac:dyDescent="0.2">
      <c r="B28" s="177"/>
      <c r="C28" s="177"/>
      <c r="D28" s="221">
        <v>0</v>
      </c>
      <c r="G28" s="221">
        <v>0</v>
      </c>
    </row>
    <row r="29" spans="1:7" ht="13.5" thickBot="1" x14ac:dyDescent="0.25">
      <c r="B29" s="177"/>
      <c r="C29" s="177"/>
      <c r="D29" s="177"/>
    </row>
    <row r="30" spans="1:7" ht="15.75" thickBot="1" x14ac:dyDescent="0.25">
      <c r="B30" s="177"/>
      <c r="C30" s="177"/>
      <c r="D30" s="177"/>
      <c r="E30" s="748" t="s">
        <v>16</v>
      </c>
      <c r="F30" s="749"/>
      <c r="G30" s="750"/>
    </row>
    <row r="31" spans="1:7" ht="15.75" thickBot="1" x14ac:dyDescent="0.25">
      <c r="B31" s="177"/>
      <c r="C31" s="177"/>
      <c r="D31" s="177"/>
      <c r="E31" s="258" t="s">
        <v>13</v>
      </c>
      <c r="F31" s="256" t="s">
        <v>14</v>
      </c>
      <c r="G31" s="257" t="s">
        <v>15</v>
      </c>
    </row>
    <row r="32" spans="1:7" ht="15" x14ac:dyDescent="0.2">
      <c r="B32" s="177"/>
      <c r="C32" s="177"/>
      <c r="D32" s="177"/>
      <c r="E32" s="144" t="s">
        <v>326</v>
      </c>
      <c r="F32" s="145">
        <v>45</v>
      </c>
      <c r="G32" s="159">
        <f>F32/F35</f>
        <v>0.42056074766355139</v>
      </c>
    </row>
    <row r="33" spans="2:8" ht="15" x14ac:dyDescent="0.2">
      <c r="B33" s="177"/>
      <c r="C33" s="177"/>
      <c r="D33" s="177"/>
      <c r="E33" s="146" t="s">
        <v>325</v>
      </c>
      <c r="F33" s="147">
        <v>23</v>
      </c>
      <c r="G33" s="159">
        <f>F33/F35</f>
        <v>0.21495327102803738</v>
      </c>
      <c r="H33" s="223"/>
    </row>
    <row r="34" spans="2:8" ht="15.75" thickBot="1" x14ac:dyDescent="0.25">
      <c r="B34" s="177"/>
      <c r="C34" s="177"/>
      <c r="D34" s="177"/>
      <c r="E34" s="146" t="s">
        <v>321</v>
      </c>
      <c r="F34" s="149">
        <v>39</v>
      </c>
      <c r="G34" s="159">
        <f>F34/F35</f>
        <v>0.3644859813084112</v>
      </c>
    </row>
    <row r="35" spans="2:8" ht="15.75" thickBot="1" x14ac:dyDescent="0.3">
      <c r="B35" s="177"/>
      <c r="C35" s="177"/>
      <c r="D35" s="177"/>
      <c r="E35" s="410" t="s">
        <v>17</v>
      </c>
      <c r="F35" s="150">
        <f>SUM(F32:F34)</f>
        <v>107</v>
      </c>
      <c r="G35" s="160"/>
    </row>
    <row r="36" spans="2:8" ht="15" thickBot="1" x14ac:dyDescent="0.25">
      <c r="B36" s="177"/>
      <c r="C36" s="177"/>
      <c r="D36" s="177"/>
      <c r="E36" s="436"/>
      <c r="F36" s="436"/>
      <c r="G36" s="437"/>
    </row>
    <row r="37" spans="2:8" ht="15.75" thickBot="1" x14ac:dyDescent="0.25">
      <c r="B37" s="177"/>
      <c r="C37" s="177"/>
      <c r="D37" s="177"/>
      <c r="E37" s="748" t="s">
        <v>19</v>
      </c>
      <c r="F37" s="749"/>
      <c r="G37" s="750"/>
    </row>
    <row r="38" spans="2:8" ht="15.75" thickBot="1" x14ac:dyDescent="0.25">
      <c r="B38" s="177"/>
      <c r="C38" s="177"/>
      <c r="D38" s="177"/>
      <c r="E38" s="438" t="s">
        <v>3</v>
      </c>
      <c r="F38" s="439" t="s">
        <v>4</v>
      </c>
      <c r="G38" s="161" t="s">
        <v>214</v>
      </c>
    </row>
    <row r="39" spans="2:8" ht="15" thickBot="1" x14ac:dyDescent="0.25">
      <c r="B39" s="177"/>
      <c r="C39" s="177"/>
      <c r="D39" s="177"/>
      <c r="E39" s="412">
        <f>E26</f>
        <v>153737242933</v>
      </c>
      <c r="F39" s="440">
        <f>F26</f>
        <v>103251517290.46001</v>
      </c>
      <c r="G39" s="69">
        <f>G26</f>
        <v>0.67161030938650235</v>
      </c>
    </row>
    <row r="40" spans="2:8" x14ac:dyDescent="0.2">
      <c r="B40" s="177"/>
      <c r="C40" s="177"/>
      <c r="D40" s="177"/>
    </row>
    <row r="41" spans="2:8" x14ac:dyDescent="0.2">
      <c r="B41" s="177"/>
      <c r="C41" s="177"/>
      <c r="D41" s="177"/>
    </row>
  </sheetData>
  <autoFilter ref="G2:G41"/>
  <mergeCells count="3">
    <mergeCell ref="B2:G2"/>
    <mergeCell ref="E30:G30"/>
    <mergeCell ref="E37:G37"/>
  </mergeCells>
  <conditionalFormatting sqref="D4:D28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8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33"/>
  <sheetViews>
    <sheetView view="pageBreakPreview" topLeftCell="B1" zoomScaleNormal="80" zoomScaleSheetLayoutView="100" workbookViewId="0">
      <selection activeCell="H10" sqref="H10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8.85546875" style="3" customWidth="1"/>
    <col min="6" max="6" width="30.85546875" style="3" customWidth="1"/>
    <col min="7" max="7" width="24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42" t="s">
        <v>302</v>
      </c>
      <c r="C1" s="743"/>
      <c r="D1" s="743"/>
      <c r="E1" s="743"/>
      <c r="F1" s="743"/>
      <c r="G1" s="744"/>
    </row>
    <row r="2" spans="1:7" s="2" customFormat="1" ht="97.5" customHeight="1" thickBot="1" x14ac:dyDescent="0.3">
      <c r="B2" s="14" t="s">
        <v>1</v>
      </c>
      <c r="C2" s="166" t="s">
        <v>55</v>
      </c>
      <c r="D2" s="166" t="s">
        <v>63</v>
      </c>
      <c r="E2" s="167" t="s">
        <v>57</v>
      </c>
      <c r="F2" s="168" t="s">
        <v>58</v>
      </c>
      <c r="G2" s="169" t="s">
        <v>56</v>
      </c>
    </row>
    <row r="3" spans="1:7" s="2" customFormat="1" ht="47.25" customHeight="1" thickBot="1" x14ac:dyDescent="0.3">
      <c r="A3" s="4">
        <v>1</v>
      </c>
      <c r="B3" s="443" t="s">
        <v>163</v>
      </c>
      <c r="C3" s="444">
        <v>12</v>
      </c>
      <c r="D3" s="445">
        <v>0.80420000000000003</v>
      </c>
      <c r="E3" s="446">
        <f>[4]CONSOLIDADO!F50</f>
        <v>1600000000</v>
      </c>
      <c r="F3" s="446">
        <f>[4]CONSOLIDADO!G50</f>
        <v>1474410141.72</v>
      </c>
      <c r="G3" s="447">
        <f>F3/E3</f>
        <v>0.92150633857499997</v>
      </c>
    </row>
    <row r="4" spans="1:7" s="2" customFormat="1" ht="78.75" customHeight="1" thickBot="1" x14ac:dyDescent="0.3">
      <c r="A4" s="4">
        <v>2</v>
      </c>
      <c r="B4" s="448" t="s">
        <v>78</v>
      </c>
      <c r="C4" s="449">
        <v>15</v>
      </c>
      <c r="D4" s="450">
        <v>0.81</v>
      </c>
      <c r="E4" s="451">
        <f>[4]CONSOLIDADO!F51</f>
        <v>1172169160</v>
      </c>
      <c r="F4" s="451">
        <f>[4]CONSOLIDADO!G51</f>
        <v>742066666</v>
      </c>
      <c r="G4" s="447">
        <f>F4/E4</f>
        <v>0.63307131028767216</v>
      </c>
    </row>
    <row r="5" spans="1:7" s="2" customFormat="1" ht="72.75" thickBot="1" x14ac:dyDescent="0.3">
      <c r="A5" s="4">
        <v>3</v>
      </c>
      <c r="B5" s="448" t="s">
        <v>79</v>
      </c>
      <c r="C5" s="449">
        <v>11</v>
      </c>
      <c r="D5" s="450">
        <v>0.71360000000000001</v>
      </c>
      <c r="E5" s="452">
        <f>[4]CONSOLIDADO!F52</f>
        <v>1558600800</v>
      </c>
      <c r="F5" s="452">
        <f>[4]CONSOLIDADO!G52</f>
        <v>502677103</v>
      </c>
      <c r="G5" s="447">
        <f>F5/E5</f>
        <v>0.32251818618340244</v>
      </c>
    </row>
    <row r="6" spans="1:7" s="2" customFormat="1" ht="63.75" customHeight="1" thickBot="1" x14ac:dyDescent="0.3">
      <c r="A6" s="4">
        <v>4</v>
      </c>
      <c r="B6" s="448" t="s">
        <v>80</v>
      </c>
      <c r="C6" s="449">
        <v>3</v>
      </c>
      <c r="D6" s="450">
        <v>0.81669999999999998</v>
      </c>
      <c r="E6" s="449" t="str">
        <f>[4]CONSOLIDADO!F53</f>
        <v xml:space="preserve">Actividades de Gestión </v>
      </c>
      <c r="F6" s="453" t="str">
        <f>[4]CONSOLIDADO!G53</f>
        <v xml:space="preserve">Actividades de Gestión </v>
      </c>
      <c r="G6" s="454" t="s">
        <v>181</v>
      </c>
    </row>
    <row r="7" spans="1:7" s="2" customFormat="1" ht="24" customHeight="1" thickBot="1" x14ac:dyDescent="0.3">
      <c r="A7" s="4"/>
      <c r="B7" s="455" t="s">
        <v>0</v>
      </c>
      <c r="C7" s="456">
        <f>SUM(C3:C6)</f>
        <v>41</v>
      </c>
      <c r="D7" s="433">
        <f>SUM(D3:D6)/4</f>
        <v>0.78612499999999996</v>
      </c>
      <c r="E7" s="435">
        <f>SUM(E3:E6)</f>
        <v>4330769960</v>
      </c>
      <c r="F7" s="435">
        <f>SUM(F3:F6)</f>
        <v>2719153910.7200003</v>
      </c>
      <c r="G7" s="457">
        <f>F7/E7</f>
        <v>0.62786847046477623</v>
      </c>
    </row>
    <row r="8" spans="1:7" s="2" customFormat="1" ht="24" hidden="1" customHeight="1" x14ac:dyDescent="0.25">
      <c r="A8" s="4"/>
      <c r="B8" s="94"/>
      <c r="C8" s="95"/>
      <c r="D8" s="103">
        <v>1</v>
      </c>
      <c r="E8" s="38"/>
      <c r="F8" s="38"/>
      <c r="G8" s="104">
        <v>1</v>
      </c>
    </row>
    <row r="9" spans="1:7" s="2" customFormat="1" ht="24" hidden="1" customHeight="1" x14ac:dyDescent="0.25">
      <c r="A9" s="4"/>
      <c r="B9" s="1"/>
      <c r="C9" s="1"/>
      <c r="D9" s="213">
        <v>0</v>
      </c>
      <c r="E9" s="3"/>
      <c r="F9" s="3"/>
      <c r="G9" s="213">
        <v>0</v>
      </c>
    </row>
    <row r="10" spans="1:7" s="2" customFormat="1" ht="18.75" customHeight="1" thickBot="1" x14ac:dyDescent="0.3">
      <c r="A10" s="4"/>
      <c r="E10" s="409"/>
      <c r="F10" s="409"/>
      <c r="G10" s="259"/>
    </row>
    <row r="11" spans="1:7" s="2" customFormat="1" ht="18.95" customHeight="1" thickBot="1" x14ac:dyDescent="0.3">
      <c r="A11" s="4"/>
      <c r="E11" s="751" t="s">
        <v>16</v>
      </c>
      <c r="F11" s="752"/>
      <c r="G11" s="753"/>
    </row>
    <row r="12" spans="1:7" s="2" customFormat="1" ht="18.600000000000001" customHeight="1" thickBot="1" x14ac:dyDescent="0.3">
      <c r="A12" s="4"/>
      <c r="B12" s="3"/>
      <c r="C12" s="3"/>
      <c r="D12" s="3"/>
      <c r="E12" s="265" t="s">
        <v>13</v>
      </c>
      <c r="F12" s="266" t="s">
        <v>14</v>
      </c>
      <c r="G12" s="267" t="s">
        <v>15</v>
      </c>
    </row>
    <row r="13" spans="1:7" s="2" customFormat="1" ht="15.75" x14ac:dyDescent="0.25">
      <c r="A13" s="4"/>
      <c r="B13" s="3"/>
      <c r="C13" s="3"/>
      <c r="D13" s="3"/>
      <c r="E13" s="268" t="s">
        <v>326</v>
      </c>
      <c r="F13" s="269">
        <v>16</v>
      </c>
      <c r="G13" s="270">
        <f>F13/F16</f>
        <v>0.3902439024390244</v>
      </c>
    </row>
    <row r="14" spans="1:7" s="2" customFormat="1" ht="15.75" x14ac:dyDescent="0.25">
      <c r="A14" s="4"/>
      <c r="B14" s="3"/>
      <c r="C14" s="3"/>
      <c r="D14" s="3"/>
      <c r="E14" s="271" t="s">
        <v>325</v>
      </c>
      <c r="F14" s="272">
        <v>21</v>
      </c>
      <c r="G14" s="270">
        <f>F14/F16</f>
        <v>0.51219512195121952</v>
      </c>
    </row>
    <row r="15" spans="1:7" s="2" customFormat="1" ht="16.5" thickBot="1" x14ac:dyDescent="0.3">
      <c r="A15" s="4"/>
      <c r="B15" s="3"/>
      <c r="C15" s="3"/>
      <c r="D15" s="3"/>
      <c r="E15" s="271" t="s">
        <v>321</v>
      </c>
      <c r="F15" s="273">
        <v>4</v>
      </c>
      <c r="G15" s="270">
        <f>F15/F16</f>
        <v>9.7560975609756101E-2</v>
      </c>
    </row>
    <row r="16" spans="1:7" s="2" customFormat="1" ht="20.25" customHeight="1" thickBot="1" x14ac:dyDescent="0.3">
      <c r="A16" s="4"/>
      <c r="B16" s="3"/>
      <c r="C16" s="3"/>
      <c r="D16" s="3"/>
      <c r="E16" s="408" t="s">
        <v>17</v>
      </c>
      <c r="F16" s="274">
        <f>SUM(F13:F15)</f>
        <v>41</v>
      </c>
      <c r="G16" s="275"/>
    </row>
    <row r="17" spans="1:7" s="2" customFormat="1" ht="21" customHeight="1" thickBot="1" x14ac:dyDescent="0.3">
      <c r="A17" s="4"/>
      <c r="B17" s="3"/>
      <c r="C17" s="3"/>
      <c r="D17" s="3"/>
      <c r="E17" s="39"/>
      <c r="F17" s="39"/>
      <c r="G17" s="37"/>
    </row>
    <row r="18" spans="1:7" s="2" customFormat="1" ht="23.1" customHeight="1" thickBot="1" x14ac:dyDescent="0.3">
      <c r="A18" s="4"/>
      <c r="B18" s="3"/>
      <c r="C18" s="3"/>
      <c r="D18" s="3"/>
      <c r="E18" s="735" t="s">
        <v>20</v>
      </c>
      <c r="F18" s="736"/>
      <c r="G18" s="737"/>
    </row>
    <row r="19" spans="1:7" s="2" customFormat="1" ht="16.5" customHeight="1" thickBot="1" x14ac:dyDescent="0.3">
      <c r="A19" s="4"/>
      <c r="B19" s="3"/>
      <c r="C19" s="3"/>
      <c r="D19" s="3"/>
      <c r="E19" s="438" t="s">
        <v>3</v>
      </c>
      <c r="F19" s="439" t="s">
        <v>4</v>
      </c>
      <c r="G19" s="161" t="s">
        <v>214</v>
      </c>
    </row>
    <row r="20" spans="1:7" s="2" customFormat="1" ht="15.75" thickBot="1" x14ac:dyDescent="0.3">
      <c r="A20" s="4"/>
      <c r="B20" s="1"/>
      <c r="C20" s="1"/>
      <c r="D20" s="1"/>
      <c r="E20" s="412">
        <f>E7</f>
        <v>4330769960</v>
      </c>
      <c r="F20" s="412">
        <f>F7</f>
        <v>2719153910.7200003</v>
      </c>
      <c r="G20" s="69">
        <f>G7</f>
        <v>0.62786847046477623</v>
      </c>
    </row>
    <row r="21" spans="1:7" s="2" customFormat="1" ht="46.5" customHeight="1" x14ac:dyDescent="0.25">
      <c r="A21" s="4"/>
      <c r="B21" s="1"/>
      <c r="C21" s="1"/>
      <c r="D21" s="1"/>
      <c r="E21" s="3"/>
      <c r="F21" s="3"/>
    </row>
    <row r="22" spans="1:7" ht="17.100000000000001" customHeight="1" x14ac:dyDescent="0.25"/>
    <row r="24" spans="1:7" s="2" customFormat="1" x14ac:dyDescent="0.25">
      <c r="A24" s="1"/>
      <c r="B24" s="1"/>
      <c r="C24" s="1"/>
      <c r="D24" s="1"/>
      <c r="E24" s="3"/>
      <c r="F24" s="3"/>
    </row>
    <row r="25" spans="1:7" s="2" customFormat="1" x14ac:dyDescent="0.25">
      <c r="A25" s="1"/>
      <c r="B25" s="1"/>
      <c r="C25" s="1"/>
      <c r="D25" s="1"/>
      <c r="E25" s="3"/>
      <c r="F25" s="3"/>
    </row>
    <row r="26" spans="1:7" s="3" customFormat="1" x14ac:dyDescent="0.25">
      <c r="A26" s="1"/>
      <c r="B26" s="1"/>
      <c r="C26" s="1"/>
      <c r="D26" s="1"/>
      <c r="G26" s="2"/>
    </row>
    <row r="27" spans="1:7" s="3" customFormat="1" x14ac:dyDescent="0.25">
      <c r="A27" s="1"/>
      <c r="B27" s="1"/>
      <c r="C27" s="1"/>
      <c r="D27" s="1"/>
      <c r="G27" s="2"/>
    </row>
    <row r="28" spans="1:7" s="3" customFormat="1" x14ac:dyDescent="0.25">
      <c r="A28" s="1"/>
      <c r="B28" s="1"/>
      <c r="C28" s="1"/>
      <c r="D28" s="1"/>
      <c r="G28" s="2"/>
    </row>
    <row r="29" spans="1:7" s="3" customFormat="1" x14ac:dyDescent="0.25">
      <c r="A29" s="1"/>
      <c r="B29" s="1"/>
      <c r="C29" s="1"/>
      <c r="D29" s="1"/>
      <c r="G29" s="2"/>
    </row>
    <row r="30" spans="1:7" s="3" customFormat="1" x14ac:dyDescent="0.25">
      <c r="A30" s="1"/>
      <c r="B30" s="1"/>
      <c r="C30" s="1"/>
      <c r="D30" s="1"/>
      <c r="G30" s="2"/>
    </row>
    <row r="31" spans="1:7" s="3" customFormat="1" x14ac:dyDescent="0.25">
      <c r="A31" s="1"/>
      <c r="B31" s="1"/>
      <c r="C31" s="1"/>
      <c r="D31" s="1"/>
      <c r="G31" s="2"/>
    </row>
    <row r="32" spans="1:7" s="3" customFormat="1" x14ac:dyDescent="0.25">
      <c r="A32" s="1"/>
      <c r="B32" s="1"/>
      <c r="C32" s="1"/>
      <c r="D32" s="1"/>
      <c r="G32" s="2"/>
    </row>
    <row r="33" spans="1:7" s="3" customFormat="1" x14ac:dyDescent="0.25">
      <c r="A33" s="1"/>
      <c r="B33" s="1"/>
      <c r="C33" s="1"/>
      <c r="D33" s="1"/>
      <c r="G33" s="2"/>
    </row>
  </sheetData>
  <autoFilter ref="A2:G9"/>
  <mergeCells count="3">
    <mergeCell ref="B1:G1"/>
    <mergeCell ref="E11:G11"/>
    <mergeCell ref="E18:G18"/>
  </mergeCells>
  <conditionalFormatting sqref="D3:D9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8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9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4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55"/>
  <sheetViews>
    <sheetView view="pageBreakPreview" topLeftCell="A59" zoomScaleNormal="80" zoomScaleSheetLayoutView="100" workbookViewId="0">
      <selection activeCell="B2" sqref="B2:G73"/>
    </sheetView>
  </sheetViews>
  <sheetFormatPr baseColWidth="10" defaultColWidth="11.42578125" defaultRowHeight="15" x14ac:dyDescent="0.25"/>
  <cols>
    <col min="1" max="1" width="5.42578125" style="1" customWidth="1"/>
    <col min="2" max="2" width="56.28515625" style="9" customWidth="1"/>
    <col min="3" max="4" width="20.5703125" style="9" customWidth="1"/>
    <col min="5" max="5" width="28.28515625" style="3" customWidth="1"/>
    <col min="6" max="6" width="27.7109375" style="3" customWidth="1"/>
    <col min="7" max="7" width="29.140625" style="2" customWidth="1"/>
    <col min="8" max="8" width="22.140625" style="1" customWidth="1"/>
    <col min="9" max="9" width="25.140625" style="1" customWidth="1"/>
    <col min="10" max="10" width="17.140625" style="1" bestFit="1" customWidth="1"/>
    <col min="11" max="16384" width="11.42578125" style="1"/>
  </cols>
  <sheetData>
    <row r="1" spans="1:7" ht="15.75" thickBot="1" x14ac:dyDescent="0.3"/>
    <row r="2" spans="1:7" ht="69.75" customHeight="1" thickBot="1" x14ac:dyDescent="0.3">
      <c r="B2" s="742" t="s">
        <v>303</v>
      </c>
      <c r="C2" s="743"/>
      <c r="D2" s="743"/>
      <c r="E2" s="743"/>
      <c r="F2" s="743"/>
      <c r="G2" s="744"/>
    </row>
    <row r="3" spans="1:7" s="2" customFormat="1" ht="108.75" customHeight="1" thickBot="1" x14ac:dyDescent="0.3">
      <c r="B3" s="14" t="s">
        <v>1</v>
      </c>
      <c r="C3" s="166" t="s">
        <v>55</v>
      </c>
      <c r="D3" s="166" t="s">
        <v>63</v>
      </c>
      <c r="E3" s="167" t="s">
        <v>57</v>
      </c>
      <c r="F3" s="168" t="s">
        <v>58</v>
      </c>
      <c r="G3" s="169" t="s">
        <v>56</v>
      </c>
    </row>
    <row r="4" spans="1:7" s="8" customFormat="1" ht="55.5" customHeight="1" x14ac:dyDescent="0.25">
      <c r="A4" s="7">
        <v>1</v>
      </c>
      <c r="B4" s="701" t="s">
        <v>81</v>
      </c>
      <c r="C4" s="702">
        <v>1</v>
      </c>
      <c r="D4" s="466">
        <v>0</v>
      </c>
      <c r="E4" s="697">
        <v>114660000</v>
      </c>
      <c r="F4" s="698">
        <v>0</v>
      </c>
      <c r="G4" s="467" t="s">
        <v>352</v>
      </c>
    </row>
    <row r="5" spans="1:7" s="8" customFormat="1" ht="56.25" customHeight="1" x14ac:dyDescent="0.25">
      <c r="A5" s="7">
        <v>2</v>
      </c>
      <c r="B5" s="703" t="s">
        <v>82</v>
      </c>
      <c r="C5" s="352">
        <v>1</v>
      </c>
      <c r="D5" s="353">
        <v>0</v>
      </c>
      <c r="E5" s="699">
        <v>234288814.37</v>
      </c>
      <c r="F5" s="700">
        <v>0</v>
      </c>
      <c r="G5" s="467" t="s">
        <v>352</v>
      </c>
    </row>
    <row r="6" spans="1:7" s="8" customFormat="1" ht="57.75" customHeight="1" x14ac:dyDescent="0.25">
      <c r="A6" s="7">
        <v>3</v>
      </c>
      <c r="B6" s="704" t="s">
        <v>83</v>
      </c>
      <c r="C6" s="352">
        <v>1</v>
      </c>
      <c r="D6" s="695">
        <v>1</v>
      </c>
      <c r="E6" s="697">
        <v>114660000</v>
      </c>
      <c r="F6" s="698">
        <v>0</v>
      </c>
      <c r="G6" s="467" t="s">
        <v>352</v>
      </c>
    </row>
    <row r="7" spans="1:7" s="8" customFormat="1" ht="32.25" customHeight="1" x14ac:dyDescent="0.25">
      <c r="A7" s="7">
        <v>4</v>
      </c>
      <c r="B7" s="704" t="s">
        <v>84</v>
      </c>
      <c r="C7" s="352">
        <v>4</v>
      </c>
      <c r="D7" s="353">
        <v>0.9375</v>
      </c>
      <c r="E7" s="699">
        <f>[5]CONSOLIDADO!$H$57</f>
        <v>127023483125</v>
      </c>
      <c r="F7" s="699">
        <f>[5]CONSOLIDADO!$I$57</f>
        <v>90305495934</v>
      </c>
      <c r="G7" s="378">
        <f t="shared" ref="G7:G40" si="0">F7/E7</f>
        <v>0.71093544053687352</v>
      </c>
    </row>
    <row r="8" spans="1:7" s="8" customFormat="1" ht="76.5" customHeight="1" x14ac:dyDescent="0.25">
      <c r="A8" s="7">
        <v>5</v>
      </c>
      <c r="B8" s="703" t="s">
        <v>85</v>
      </c>
      <c r="C8" s="352">
        <v>1</v>
      </c>
      <c r="D8" s="694">
        <v>0</v>
      </c>
      <c r="E8" s="699">
        <v>103272000</v>
      </c>
      <c r="F8" s="700">
        <v>0</v>
      </c>
      <c r="G8" s="467" t="s">
        <v>350</v>
      </c>
    </row>
    <row r="9" spans="1:7" s="8" customFormat="1" ht="45" customHeight="1" x14ac:dyDescent="0.25">
      <c r="A9" s="7">
        <v>6</v>
      </c>
      <c r="B9" s="704" t="s">
        <v>86</v>
      </c>
      <c r="C9" s="352">
        <v>1</v>
      </c>
      <c r="D9" s="353">
        <v>0.84230000000000005</v>
      </c>
      <c r="E9" s="699">
        <v>0</v>
      </c>
      <c r="F9" s="700">
        <v>0</v>
      </c>
      <c r="G9" s="467" t="s">
        <v>351</v>
      </c>
    </row>
    <row r="10" spans="1:7" s="8" customFormat="1" ht="39" customHeight="1" x14ac:dyDescent="0.25">
      <c r="A10" s="7">
        <v>7</v>
      </c>
      <c r="B10" s="704" t="s">
        <v>87</v>
      </c>
      <c r="C10" s="352">
        <v>1</v>
      </c>
      <c r="D10" s="353">
        <v>0.8286</v>
      </c>
      <c r="E10" s="699">
        <v>427000000</v>
      </c>
      <c r="F10" s="700">
        <v>426553783</v>
      </c>
      <c r="G10" s="378">
        <f t="shared" si="0"/>
        <v>0.99895499531615928</v>
      </c>
    </row>
    <row r="11" spans="1:7" s="8" customFormat="1" ht="40.5" customHeight="1" x14ac:dyDescent="0.25">
      <c r="A11" s="7">
        <v>8</v>
      </c>
      <c r="B11" s="704" t="s">
        <v>88</v>
      </c>
      <c r="C11" s="352">
        <v>1</v>
      </c>
      <c r="D11" s="353">
        <v>0.4612</v>
      </c>
      <c r="E11" s="699">
        <v>203546543</v>
      </c>
      <c r="F11" s="700">
        <v>154438897</v>
      </c>
      <c r="G11" s="378">
        <f t="shared" si="0"/>
        <v>0.75873996543385169</v>
      </c>
    </row>
    <row r="12" spans="1:7" s="8" customFormat="1" ht="60" customHeight="1" x14ac:dyDescent="0.25">
      <c r="A12" s="7">
        <v>9</v>
      </c>
      <c r="B12" s="704" t="s">
        <v>89</v>
      </c>
      <c r="C12" s="352">
        <v>1</v>
      </c>
      <c r="D12" s="695">
        <v>1</v>
      </c>
      <c r="E12" s="699">
        <v>58834963.549999997</v>
      </c>
      <c r="F12" s="700">
        <v>0</v>
      </c>
      <c r="G12" s="467" t="s">
        <v>352</v>
      </c>
    </row>
    <row r="13" spans="1:7" s="8" customFormat="1" ht="48" customHeight="1" x14ac:dyDescent="0.25">
      <c r="A13" s="7">
        <v>10</v>
      </c>
      <c r="B13" s="703" t="s">
        <v>90</v>
      </c>
      <c r="C13" s="352">
        <v>1</v>
      </c>
      <c r="D13" s="353">
        <v>1</v>
      </c>
      <c r="E13" s="699">
        <v>0</v>
      </c>
      <c r="F13" s="700">
        <v>0</v>
      </c>
      <c r="G13" s="467" t="s">
        <v>351</v>
      </c>
    </row>
    <row r="14" spans="1:7" s="8" customFormat="1" ht="39" customHeight="1" x14ac:dyDescent="0.25">
      <c r="A14" s="7">
        <v>11</v>
      </c>
      <c r="B14" s="703" t="s">
        <v>91</v>
      </c>
      <c r="C14" s="352">
        <v>1</v>
      </c>
      <c r="D14" s="353">
        <v>1</v>
      </c>
      <c r="E14" s="699">
        <v>0</v>
      </c>
      <c r="F14" s="700">
        <v>0</v>
      </c>
      <c r="G14" s="467" t="s">
        <v>351</v>
      </c>
    </row>
    <row r="15" spans="1:7" s="8" customFormat="1" ht="39" customHeight="1" x14ac:dyDescent="0.25">
      <c r="A15" s="7">
        <v>12</v>
      </c>
      <c r="B15" s="703" t="s">
        <v>92</v>
      </c>
      <c r="C15" s="352">
        <v>1</v>
      </c>
      <c r="D15" s="353">
        <v>0.58330000000000004</v>
      </c>
      <c r="E15" s="699">
        <v>2157303604.77</v>
      </c>
      <c r="F15" s="700">
        <v>78770066</v>
      </c>
      <c r="G15" s="378">
        <f t="shared" si="0"/>
        <v>3.6513203716821326E-2</v>
      </c>
    </row>
    <row r="16" spans="1:7" s="8" customFormat="1" ht="24.95" customHeight="1" x14ac:dyDescent="0.25">
      <c r="A16" s="7">
        <v>13</v>
      </c>
      <c r="B16" s="703" t="s">
        <v>93</v>
      </c>
      <c r="C16" s="352">
        <v>1</v>
      </c>
      <c r="D16" s="353">
        <v>0.4511</v>
      </c>
      <c r="E16" s="699">
        <v>48000000</v>
      </c>
      <c r="F16" s="700">
        <v>43215928</v>
      </c>
      <c r="G16" s="378">
        <f t="shared" si="0"/>
        <v>0.90033183333333333</v>
      </c>
    </row>
    <row r="17" spans="1:7" s="8" customFormat="1" ht="34.5" customHeight="1" x14ac:dyDescent="0.25">
      <c r="A17" s="7">
        <v>14</v>
      </c>
      <c r="B17" s="703" t="s">
        <v>94</v>
      </c>
      <c r="C17" s="352">
        <v>1</v>
      </c>
      <c r="D17" s="353">
        <v>0.96551724137931039</v>
      </c>
      <c r="E17" s="699">
        <v>313735681</v>
      </c>
      <c r="F17" s="700">
        <v>298559399</v>
      </c>
      <c r="G17" s="378">
        <f t="shared" si="0"/>
        <v>0.95162717242862793</v>
      </c>
    </row>
    <row r="18" spans="1:7" s="8" customFormat="1" ht="38.25" customHeight="1" x14ac:dyDescent="0.25">
      <c r="A18" s="7">
        <v>15</v>
      </c>
      <c r="B18" s="703" t="s">
        <v>95</v>
      </c>
      <c r="C18" s="352">
        <v>1</v>
      </c>
      <c r="D18" s="353">
        <v>0.96551724137931039</v>
      </c>
      <c r="E18" s="699">
        <v>0</v>
      </c>
      <c r="F18" s="700">
        <v>0</v>
      </c>
      <c r="G18" s="467" t="s">
        <v>351</v>
      </c>
    </row>
    <row r="19" spans="1:7" s="8" customFormat="1" ht="42" customHeight="1" x14ac:dyDescent="0.25">
      <c r="A19" s="7">
        <v>16</v>
      </c>
      <c r="B19" s="703" t="s">
        <v>96</v>
      </c>
      <c r="C19" s="352">
        <v>1</v>
      </c>
      <c r="D19" s="353">
        <v>0.96551724137931039</v>
      </c>
      <c r="E19" s="699">
        <v>0</v>
      </c>
      <c r="F19" s="700">
        <v>0</v>
      </c>
      <c r="G19" s="467" t="s">
        <v>351</v>
      </c>
    </row>
    <row r="20" spans="1:7" s="8" customFormat="1" ht="40.5" customHeight="1" x14ac:dyDescent="0.25">
      <c r="A20" s="7">
        <v>17</v>
      </c>
      <c r="B20" s="704" t="s">
        <v>97</v>
      </c>
      <c r="C20" s="352">
        <v>1</v>
      </c>
      <c r="D20" s="695">
        <v>0.96551724137931039</v>
      </c>
      <c r="E20" s="699">
        <v>62400000</v>
      </c>
      <c r="F20" s="700">
        <v>0</v>
      </c>
      <c r="G20" s="378" t="s">
        <v>349</v>
      </c>
    </row>
    <row r="21" spans="1:7" s="8" customFormat="1" ht="24.95" customHeight="1" x14ac:dyDescent="0.25">
      <c r="A21" s="7">
        <v>18</v>
      </c>
      <c r="B21" s="704" t="s">
        <v>98</v>
      </c>
      <c r="C21" s="352">
        <v>1</v>
      </c>
      <c r="D21" s="353">
        <v>1</v>
      </c>
      <c r="E21" s="699">
        <v>10032621348.76</v>
      </c>
      <c r="F21" s="700">
        <v>9695223013.0599995</v>
      </c>
      <c r="G21" s="378">
        <f t="shared" si="0"/>
        <v>0.96636987244199124</v>
      </c>
    </row>
    <row r="22" spans="1:7" s="8" customFormat="1" ht="24.95" customHeight="1" x14ac:dyDescent="0.25">
      <c r="A22" s="7">
        <v>19</v>
      </c>
      <c r="B22" s="703" t="s">
        <v>99</v>
      </c>
      <c r="C22" s="352">
        <v>1</v>
      </c>
      <c r="D22" s="353">
        <v>1</v>
      </c>
      <c r="E22" s="699">
        <v>259000000</v>
      </c>
      <c r="F22" s="700">
        <v>58960000</v>
      </c>
      <c r="G22" s="378">
        <f t="shared" si="0"/>
        <v>0.22764478764478766</v>
      </c>
    </row>
    <row r="23" spans="1:7" s="8" customFormat="1" ht="37.5" customHeight="1" x14ac:dyDescent="0.25">
      <c r="A23" s="7">
        <v>20</v>
      </c>
      <c r="B23" s="703" t="s">
        <v>100</v>
      </c>
      <c r="C23" s="352">
        <v>2</v>
      </c>
      <c r="D23" s="353">
        <v>1</v>
      </c>
      <c r="E23" s="699">
        <f>[5]CONSOLIDADO!$H$73</f>
        <v>1329000000</v>
      </c>
      <c r="F23" s="700">
        <f>[5]CONSOLIDADO!$I$73</f>
        <v>1171682766</v>
      </c>
      <c r="G23" s="378">
        <f t="shared" si="0"/>
        <v>0.88162736343115122</v>
      </c>
    </row>
    <row r="24" spans="1:7" s="8" customFormat="1" ht="24.95" customHeight="1" x14ac:dyDescent="0.25">
      <c r="A24" s="7">
        <v>21</v>
      </c>
      <c r="B24" s="703" t="s">
        <v>101</v>
      </c>
      <c r="C24" s="352">
        <v>1</v>
      </c>
      <c r="D24" s="353">
        <v>1</v>
      </c>
      <c r="E24" s="699">
        <v>1295840000</v>
      </c>
      <c r="F24" s="700">
        <v>483958503</v>
      </c>
      <c r="G24" s="378">
        <f t="shared" si="0"/>
        <v>0.37347087834917891</v>
      </c>
    </row>
    <row r="25" spans="1:7" s="8" customFormat="1" ht="37.5" customHeight="1" x14ac:dyDescent="0.25">
      <c r="A25" s="7">
        <v>22</v>
      </c>
      <c r="B25" s="703" t="s">
        <v>102</v>
      </c>
      <c r="C25" s="352">
        <v>1</v>
      </c>
      <c r="D25" s="353">
        <v>1</v>
      </c>
      <c r="E25" s="699">
        <v>3635421196.2600002</v>
      </c>
      <c r="F25" s="700">
        <v>3503808477</v>
      </c>
      <c r="G25" s="378">
        <f t="shared" si="0"/>
        <v>0.96379711946571722</v>
      </c>
    </row>
    <row r="26" spans="1:7" s="8" customFormat="1" ht="24.95" customHeight="1" x14ac:dyDescent="0.25">
      <c r="A26" s="7">
        <v>23</v>
      </c>
      <c r="B26" s="703" t="s">
        <v>103</v>
      </c>
      <c r="C26" s="352">
        <v>1</v>
      </c>
      <c r="D26" s="353">
        <v>0.96550000000000002</v>
      </c>
      <c r="E26" s="699">
        <v>99142112</v>
      </c>
      <c r="F26" s="700">
        <v>90000000</v>
      </c>
      <c r="G26" s="378">
        <f t="shared" si="0"/>
        <v>0.90778780262417647</v>
      </c>
    </row>
    <row r="27" spans="1:7" s="8" customFormat="1" ht="24.95" customHeight="1" x14ac:dyDescent="0.25">
      <c r="A27" s="7">
        <v>24</v>
      </c>
      <c r="B27" s="703" t="s">
        <v>104</v>
      </c>
      <c r="C27" s="352">
        <v>1</v>
      </c>
      <c r="D27" s="353">
        <v>0.86960000000000004</v>
      </c>
      <c r="E27" s="699">
        <v>57000000</v>
      </c>
      <c r="F27" s="700">
        <v>57000000</v>
      </c>
      <c r="G27" s="378">
        <f t="shared" si="0"/>
        <v>1</v>
      </c>
    </row>
    <row r="28" spans="1:7" s="8" customFormat="1" ht="37.5" customHeight="1" x14ac:dyDescent="0.25">
      <c r="A28" s="7">
        <v>25</v>
      </c>
      <c r="B28" s="703" t="s">
        <v>105</v>
      </c>
      <c r="C28" s="352">
        <v>1</v>
      </c>
      <c r="D28" s="353">
        <v>1</v>
      </c>
      <c r="E28" s="699">
        <v>1040000000</v>
      </c>
      <c r="F28" s="700">
        <v>999420316.25</v>
      </c>
      <c r="G28" s="378">
        <f t="shared" si="0"/>
        <v>0.96098107331730764</v>
      </c>
    </row>
    <row r="29" spans="1:7" s="8" customFormat="1" ht="32.25" customHeight="1" x14ac:dyDescent="0.25">
      <c r="A29" s="7">
        <v>26</v>
      </c>
      <c r="B29" s="703" t="s">
        <v>106</v>
      </c>
      <c r="C29" s="352">
        <v>1</v>
      </c>
      <c r="D29" s="353">
        <v>1</v>
      </c>
      <c r="E29" s="699">
        <v>78425705.400000006</v>
      </c>
      <c r="F29" s="700">
        <v>35465382.609999999</v>
      </c>
      <c r="G29" s="378">
        <f t="shared" si="0"/>
        <v>0.45221630368657156</v>
      </c>
    </row>
    <row r="30" spans="1:7" s="8" customFormat="1" ht="40.5" customHeight="1" x14ac:dyDescent="0.25">
      <c r="A30" s="7">
        <v>27</v>
      </c>
      <c r="B30" s="703" t="s">
        <v>107</v>
      </c>
      <c r="C30" s="352">
        <v>1</v>
      </c>
      <c r="D30" s="353">
        <v>1</v>
      </c>
      <c r="E30" s="699">
        <v>0</v>
      </c>
      <c r="F30" s="700">
        <v>0</v>
      </c>
      <c r="G30" s="467" t="s">
        <v>351</v>
      </c>
    </row>
    <row r="31" spans="1:7" s="8" customFormat="1" ht="40.5" customHeight="1" x14ac:dyDescent="0.25">
      <c r="A31" s="7">
        <v>28</v>
      </c>
      <c r="B31" s="704" t="s">
        <v>108</v>
      </c>
      <c r="C31" s="352">
        <v>1</v>
      </c>
      <c r="D31" s="353">
        <v>0.96551724137931039</v>
      </c>
      <c r="E31" s="699">
        <v>0</v>
      </c>
      <c r="F31" s="700">
        <v>0</v>
      </c>
      <c r="G31" s="467" t="s">
        <v>351</v>
      </c>
    </row>
    <row r="32" spans="1:7" s="8" customFormat="1" ht="37.5" customHeight="1" x14ac:dyDescent="0.25">
      <c r="A32" s="7">
        <v>29</v>
      </c>
      <c r="B32" s="703" t="s">
        <v>109</v>
      </c>
      <c r="C32" s="352">
        <v>1</v>
      </c>
      <c r="D32" s="353">
        <v>0.96551724137931039</v>
      </c>
      <c r="E32" s="699">
        <v>0</v>
      </c>
      <c r="F32" s="700">
        <v>0</v>
      </c>
      <c r="G32" s="467" t="s">
        <v>351</v>
      </c>
    </row>
    <row r="33" spans="1:10" s="8" customFormat="1" ht="41.25" customHeight="1" x14ac:dyDescent="0.25">
      <c r="A33" s="7">
        <v>30</v>
      </c>
      <c r="B33" s="704" t="s">
        <v>110</v>
      </c>
      <c r="C33" s="352">
        <v>1</v>
      </c>
      <c r="D33" s="353">
        <v>0.7732</v>
      </c>
      <c r="E33" s="699">
        <v>0</v>
      </c>
      <c r="F33" s="700">
        <v>0</v>
      </c>
      <c r="G33" s="467" t="s">
        <v>351</v>
      </c>
    </row>
    <row r="34" spans="1:10" s="8" customFormat="1" ht="41.25" customHeight="1" x14ac:dyDescent="0.25">
      <c r="A34" s="7">
        <v>31</v>
      </c>
      <c r="B34" s="704" t="s">
        <v>111</v>
      </c>
      <c r="C34" s="352">
        <v>1</v>
      </c>
      <c r="D34" s="353">
        <v>1</v>
      </c>
      <c r="E34" s="699">
        <v>0</v>
      </c>
      <c r="F34" s="700">
        <v>0</v>
      </c>
      <c r="G34" s="467" t="s">
        <v>351</v>
      </c>
    </row>
    <row r="35" spans="1:10" s="8" customFormat="1" ht="42.75" customHeight="1" x14ac:dyDescent="0.25">
      <c r="A35" s="7">
        <v>32</v>
      </c>
      <c r="B35" s="704" t="s">
        <v>112</v>
      </c>
      <c r="C35" s="352">
        <v>1</v>
      </c>
      <c r="D35" s="353">
        <v>0.75</v>
      </c>
      <c r="E35" s="699">
        <v>0</v>
      </c>
      <c r="F35" s="700">
        <v>0</v>
      </c>
      <c r="G35" s="467" t="s">
        <v>351</v>
      </c>
    </row>
    <row r="36" spans="1:10" s="8" customFormat="1" ht="44.25" customHeight="1" x14ac:dyDescent="0.25">
      <c r="A36" s="7">
        <v>33</v>
      </c>
      <c r="B36" s="704" t="s">
        <v>113</v>
      </c>
      <c r="C36" s="352">
        <v>1</v>
      </c>
      <c r="D36" s="353">
        <v>0.8</v>
      </c>
      <c r="E36" s="699">
        <v>0</v>
      </c>
      <c r="F36" s="700">
        <v>0</v>
      </c>
      <c r="G36" s="467" t="s">
        <v>351</v>
      </c>
    </row>
    <row r="37" spans="1:10" s="8" customFormat="1" ht="32.25" customHeight="1" x14ac:dyDescent="0.25">
      <c r="A37" s="7">
        <v>34</v>
      </c>
      <c r="B37" s="703" t="s">
        <v>114</v>
      </c>
      <c r="C37" s="352">
        <v>1</v>
      </c>
      <c r="D37" s="353">
        <v>0.75</v>
      </c>
      <c r="E37" s="699">
        <v>32892900</v>
      </c>
      <c r="F37" s="700">
        <v>29105010</v>
      </c>
      <c r="G37" s="378">
        <f t="shared" si="0"/>
        <v>0.88484171356128527</v>
      </c>
    </row>
    <row r="38" spans="1:10" s="8" customFormat="1" ht="32.25" customHeight="1" x14ac:dyDescent="0.25">
      <c r="A38" s="7">
        <v>35</v>
      </c>
      <c r="B38" s="704" t="s">
        <v>115</v>
      </c>
      <c r="C38" s="352">
        <v>1</v>
      </c>
      <c r="D38" s="353">
        <v>0.96550000000000002</v>
      </c>
      <c r="E38" s="699">
        <v>546054446</v>
      </c>
      <c r="F38" s="700">
        <v>259923317.63999999</v>
      </c>
      <c r="G38" s="378">
        <f t="shared" si="0"/>
        <v>0.47600256630819554</v>
      </c>
    </row>
    <row r="39" spans="1:10" s="8" customFormat="1" ht="18" x14ac:dyDescent="0.25">
      <c r="A39" s="7">
        <v>36</v>
      </c>
      <c r="B39" s="704" t="s">
        <v>116</v>
      </c>
      <c r="C39" s="352">
        <v>1</v>
      </c>
      <c r="D39" s="353">
        <v>1</v>
      </c>
      <c r="E39" s="699">
        <v>0</v>
      </c>
      <c r="F39" s="700">
        <v>0</v>
      </c>
      <c r="G39" s="378" t="s">
        <v>349</v>
      </c>
    </row>
    <row r="40" spans="1:10" s="8" customFormat="1" ht="30.75" customHeight="1" thickBot="1" x14ac:dyDescent="0.3">
      <c r="A40" s="7">
        <v>37</v>
      </c>
      <c r="B40" s="705" t="s">
        <v>117</v>
      </c>
      <c r="C40" s="361">
        <v>1</v>
      </c>
      <c r="D40" s="362">
        <v>0.75</v>
      </c>
      <c r="E40" s="463">
        <v>2405152201</v>
      </c>
      <c r="F40" s="464">
        <v>1731274431.6300001</v>
      </c>
      <c r="G40" s="460">
        <f t="shared" si="0"/>
        <v>0.71981907461414751</v>
      </c>
    </row>
    <row r="41" spans="1:10" s="8" customFormat="1" ht="24.95" customHeight="1" thickBot="1" x14ac:dyDescent="0.3">
      <c r="A41" s="7"/>
      <c r="B41" s="345" t="s">
        <v>54</v>
      </c>
      <c r="C41" s="366">
        <v>41</v>
      </c>
      <c r="D41" s="461">
        <f>SUM(D4:D40)/37</f>
        <v>0.82488928238583381</v>
      </c>
      <c r="E41" s="465">
        <f>E7+E10+E11+E15+E16+E17+E21+E22+E23+E24+E25+E26+E28+E27+E29+E37+E38+E40</f>
        <v>150983618863.19</v>
      </c>
      <c r="F41" s="465">
        <f>SUM(F4:F40)</f>
        <v>109422855224.19</v>
      </c>
      <c r="G41" s="462">
        <f>(F7+F10+F11+F15+F16+F17+F21+F22+F23+F24+F25+F26+F27+F28+F29+F37+F38+F40)/E41</f>
        <v>0.724733292578851</v>
      </c>
      <c r="H41" s="696"/>
      <c r="I41" s="63"/>
      <c r="J41" s="63"/>
    </row>
    <row r="42" spans="1:10" ht="24.75" hidden="1" customHeight="1" thickBot="1" x14ac:dyDescent="0.3">
      <c r="D42" s="80">
        <v>1</v>
      </c>
      <c r="G42" s="81">
        <v>1</v>
      </c>
    </row>
    <row r="43" spans="1:10" ht="24" hidden="1" customHeight="1" x14ac:dyDescent="0.25">
      <c r="D43" s="105">
        <v>0</v>
      </c>
      <c r="G43" s="105">
        <v>0</v>
      </c>
    </row>
    <row r="44" spans="1:10" ht="6.75" customHeight="1" thickBot="1" x14ac:dyDescent="0.3"/>
    <row r="45" spans="1:10" ht="15.75" thickBot="1" x14ac:dyDescent="0.3">
      <c r="E45" s="735" t="s">
        <v>16</v>
      </c>
      <c r="F45" s="736"/>
      <c r="G45" s="737"/>
    </row>
    <row r="46" spans="1:10" ht="15.75" thickBot="1" x14ac:dyDescent="0.3">
      <c r="E46" s="258" t="s">
        <v>13</v>
      </c>
      <c r="F46" s="256" t="s">
        <v>14</v>
      </c>
      <c r="G46" s="257" t="s">
        <v>15</v>
      </c>
    </row>
    <row r="47" spans="1:10" x14ac:dyDescent="0.25">
      <c r="E47" s="144" t="s">
        <v>326</v>
      </c>
      <c r="F47" s="145">
        <v>31</v>
      </c>
      <c r="G47" s="159">
        <f>F47/F50</f>
        <v>0.75609756097560976</v>
      </c>
    </row>
    <row r="48" spans="1:10" x14ac:dyDescent="0.25">
      <c r="E48" s="146" t="s">
        <v>325</v>
      </c>
      <c r="F48" s="147">
        <v>5</v>
      </c>
      <c r="G48" s="159">
        <f>F48/F50</f>
        <v>0.12195121951219512</v>
      </c>
    </row>
    <row r="49" spans="5:7" ht="15.75" thickBot="1" x14ac:dyDescent="0.3">
      <c r="E49" s="148" t="s">
        <v>321</v>
      </c>
      <c r="F49" s="149">
        <v>5</v>
      </c>
      <c r="G49" s="159">
        <f>F49/F50</f>
        <v>0.12195121951219512</v>
      </c>
    </row>
    <row r="50" spans="5:7" ht="15.75" thickBot="1" x14ac:dyDescent="0.3">
      <c r="E50" s="410" t="s">
        <v>17</v>
      </c>
      <c r="F50" s="150">
        <f>SUM(F47:F49)</f>
        <v>41</v>
      </c>
      <c r="G50" s="160"/>
    </row>
    <row r="51" spans="5:7" ht="8.25" customHeight="1" thickBot="1" x14ac:dyDescent="0.3">
      <c r="E51" s="436"/>
      <c r="F51" s="436"/>
      <c r="G51" s="437"/>
    </row>
    <row r="52" spans="5:7" ht="15.75" thickBot="1" x14ac:dyDescent="0.3">
      <c r="E52" s="735" t="s">
        <v>21</v>
      </c>
      <c r="F52" s="736"/>
      <c r="G52" s="737"/>
    </row>
    <row r="53" spans="5:7" ht="15.75" thickBot="1" x14ac:dyDescent="0.3">
      <c r="E53" s="438" t="s">
        <v>3</v>
      </c>
      <c r="F53" s="439" t="s">
        <v>4</v>
      </c>
      <c r="G53" s="161" t="s">
        <v>214</v>
      </c>
    </row>
    <row r="54" spans="5:7" ht="15.75" thickBot="1" x14ac:dyDescent="0.3">
      <c r="E54" s="412">
        <f>E41</f>
        <v>150983618863.19</v>
      </c>
      <c r="F54" s="440">
        <f>F41</f>
        <v>109422855224.19</v>
      </c>
      <c r="G54" s="69">
        <f>G41</f>
        <v>0.724733292578851</v>
      </c>
    </row>
    <row r="55" spans="5:7" x14ac:dyDescent="0.25">
      <c r="E55" s="16"/>
      <c r="F55" s="16"/>
      <c r="G55" s="15"/>
    </row>
  </sheetData>
  <mergeCells count="3">
    <mergeCell ref="E45:G45"/>
    <mergeCell ref="E52:G52"/>
    <mergeCell ref="B2:G2"/>
  </mergeCells>
  <conditionalFormatting sqref="D41:D43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43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1:D43"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:D43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55118110236220474" bottom="1.3385826771653544" header="0.31496062992125984" footer="0.31496062992125984"/>
  <pageSetup paperSize="5" scale="39" orientation="portrait" r:id="rId1"/>
  <rowBreaks count="1" manualBreakCount="1"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/>
    <pageSetUpPr fitToPage="1"/>
  </sheetPr>
  <dimension ref="A1:G34"/>
  <sheetViews>
    <sheetView view="pageBreakPreview" topLeftCell="A17" zoomScaleNormal="80" zoomScaleSheetLayoutView="100" workbookViewId="0">
      <selection activeCell="D30" sqref="D30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3" width="20.5703125" style="1" customWidth="1"/>
    <col min="4" max="4" width="21.5703125" style="1" customWidth="1"/>
    <col min="5" max="5" width="27.28515625" style="3" customWidth="1"/>
    <col min="6" max="6" width="28" style="3" bestFit="1" customWidth="1"/>
    <col min="7" max="7" width="24.42578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42" t="s">
        <v>304</v>
      </c>
      <c r="C1" s="743"/>
      <c r="D1" s="743"/>
      <c r="E1" s="743"/>
      <c r="F1" s="743"/>
      <c r="G1" s="744"/>
    </row>
    <row r="2" spans="1:7" s="2" customFormat="1" ht="92.25" customHeight="1" thickBot="1" x14ac:dyDescent="0.3">
      <c r="B2" s="78" t="s">
        <v>1</v>
      </c>
      <c r="C2" s="140" t="s">
        <v>55</v>
      </c>
      <c r="D2" s="140" t="s">
        <v>63</v>
      </c>
      <c r="E2" s="141" t="s">
        <v>57</v>
      </c>
      <c r="F2" s="142" t="s">
        <v>58</v>
      </c>
      <c r="G2" s="143" t="s">
        <v>56</v>
      </c>
    </row>
    <row r="3" spans="1:7" ht="36.75" customHeight="1" thickBot="1" x14ac:dyDescent="0.3">
      <c r="A3" s="1">
        <v>1</v>
      </c>
      <c r="B3" s="441" t="s">
        <v>329</v>
      </c>
      <c r="C3" s="468">
        <f>[6]CONS0LIDADO!G119</f>
        <v>2</v>
      </c>
      <c r="D3" s="469">
        <f>[6]CONS0LIDADO!H119</f>
        <v>0.22500000000000001</v>
      </c>
      <c r="E3" s="470">
        <f>[6]CONS0LIDADO!I119</f>
        <v>930000000</v>
      </c>
      <c r="F3" s="470">
        <f>[6]CONS0LIDADO!J119</f>
        <v>0</v>
      </c>
      <c r="G3" s="471">
        <f>F3/E3</f>
        <v>0</v>
      </c>
    </row>
    <row r="4" spans="1:7" ht="51" hidden="1" customHeight="1" thickBot="1" x14ac:dyDescent="0.3">
      <c r="A4" s="1">
        <v>2</v>
      </c>
      <c r="B4" s="442" t="s">
        <v>330</v>
      </c>
      <c r="C4" s="472">
        <f>[6]CONS0LIDADO!G120</f>
        <v>1</v>
      </c>
      <c r="D4" s="376">
        <f>[6]CONS0LIDADO!H120</f>
        <v>0.6</v>
      </c>
      <c r="E4" s="473">
        <f>[6]CONS0LIDADO!I120</f>
        <v>320000000</v>
      </c>
      <c r="F4" s="379">
        <f>[6]CONS0LIDADO!J120</f>
        <v>319000028</v>
      </c>
      <c r="G4" s="474">
        <f>F4/E4</f>
        <v>0.99687508749999998</v>
      </c>
    </row>
    <row r="5" spans="1:7" ht="35.1" customHeight="1" thickBot="1" x14ac:dyDescent="0.3">
      <c r="A5" s="1">
        <v>3</v>
      </c>
      <c r="B5" s="442" t="s">
        <v>331</v>
      </c>
      <c r="C5" s="475">
        <f>[6]CONS0LIDADO!G121</f>
        <v>1</v>
      </c>
      <c r="D5" s="476">
        <f>[6]CONS0LIDADO!H121</f>
        <v>0</v>
      </c>
      <c r="E5" s="379">
        <f>[6]CONS0LIDADO!I121</f>
        <v>0</v>
      </c>
      <c r="F5" s="379">
        <f>[6]CONS0LIDADO!J121</f>
        <v>0</v>
      </c>
      <c r="G5" s="474">
        <v>0</v>
      </c>
    </row>
    <row r="6" spans="1:7" ht="35.1" hidden="1" customHeight="1" thickBot="1" x14ac:dyDescent="0.3">
      <c r="A6" s="1">
        <v>4</v>
      </c>
      <c r="B6" s="442" t="s">
        <v>332</v>
      </c>
      <c r="C6" s="475">
        <f>[6]CONS0LIDADO!G122</f>
        <v>6</v>
      </c>
      <c r="D6" s="477">
        <f>[6]CONS0LIDADO!H122</f>
        <v>0.34849999999999998</v>
      </c>
      <c r="E6" s="379">
        <f>[6]CONS0LIDADO!I122</f>
        <v>13605722198</v>
      </c>
      <c r="F6" s="379">
        <f>[6]CONS0LIDADO!J122</f>
        <v>9848453491.0200005</v>
      </c>
      <c r="G6" s="474">
        <f>F6/E6</f>
        <v>0.72384643370623081</v>
      </c>
    </row>
    <row r="7" spans="1:7" ht="51.75" customHeight="1" thickBot="1" x14ac:dyDescent="0.3">
      <c r="A7" s="1">
        <v>5</v>
      </c>
      <c r="B7" s="442" t="s">
        <v>333</v>
      </c>
      <c r="C7" s="475">
        <f>[6]CONS0LIDADO!G123</f>
        <v>33</v>
      </c>
      <c r="D7" s="376">
        <f>[6]CONS0LIDADO!H123</f>
        <v>0.58940000000000003</v>
      </c>
      <c r="E7" s="379">
        <f>[6]CONS0LIDADO!I123</f>
        <v>38904017651.300003</v>
      </c>
      <c r="F7" s="379">
        <f>[6]CONS0LIDADO!J123</f>
        <v>12206874563.790001</v>
      </c>
      <c r="G7" s="474">
        <f>F7/E7</f>
        <v>0.31376899612788706</v>
      </c>
    </row>
    <row r="8" spans="1:7" ht="43.5" customHeight="1" thickBot="1" x14ac:dyDescent="0.3">
      <c r="A8" s="1">
        <v>6</v>
      </c>
      <c r="B8" s="442" t="s">
        <v>334</v>
      </c>
      <c r="C8" s="475">
        <f>[6]CONS0LIDADO!G124</f>
        <v>1</v>
      </c>
      <c r="D8" s="477">
        <f>[6]CONS0LIDADO!H124</f>
        <v>0</v>
      </c>
      <c r="E8" s="379">
        <f>[6]CONS0LIDADO!I124</f>
        <v>0</v>
      </c>
      <c r="F8" s="379">
        <f>[6]CONS0LIDADO!J124</f>
        <v>0</v>
      </c>
      <c r="G8" s="474">
        <v>0</v>
      </c>
    </row>
    <row r="9" spans="1:7" ht="53.25" customHeight="1" thickBot="1" x14ac:dyDescent="0.3">
      <c r="A9" s="1">
        <v>7</v>
      </c>
      <c r="B9" s="442" t="s">
        <v>335</v>
      </c>
      <c r="C9" s="475">
        <f>[6]CONS0LIDADO!G125</f>
        <v>2</v>
      </c>
      <c r="D9" s="478">
        <f>[6]CONS0LIDADO!H125</f>
        <v>0</v>
      </c>
      <c r="E9" s="379">
        <f>[6]CONS0LIDADO!I125</f>
        <v>0</v>
      </c>
      <c r="F9" s="379">
        <f>[6]CONS0LIDADO!J125</f>
        <v>0</v>
      </c>
      <c r="G9" s="474">
        <v>0</v>
      </c>
    </row>
    <row r="10" spans="1:7" ht="35.1" customHeight="1" thickBot="1" x14ac:dyDescent="0.3">
      <c r="A10" s="1">
        <v>8</v>
      </c>
      <c r="B10" s="442" t="s">
        <v>336</v>
      </c>
      <c r="C10" s="475">
        <f>[6]CONS0LIDADO!G126</f>
        <v>7</v>
      </c>
      <c r="D10" s="477">
        <f>[6]CONS0LIDADO!H126</f>
        <v>0.47499999999999998</v>
      </c>
      <c r="E10" s="379">
        <f>[6]CONS0LIDADO!I126</f>
        <v>6417218627.9499998</v>
      </c>
      <c r="F10" s="379">
        <f>[6]CONS0LIDADO!J126</f>
        <v>410666624.94999999</v>
      </c>
      <c r="G10" s="474">
        <f>F10/E10</f>
        <v>6.3994488696606663E-2</v>
      </c>
    </row>
    <row r="11" spans="1:7" ht="49.5" customHeight="1" thickBot="1" x14ac:dyDescent="0.3">
      <c r="A11" s="1">
        <v>9</v>
      </c>
      <c r="B11" s="442" t="s">
        <v>337</v>
      </c>
      <c r="C11" s="475">
        <f>[6]CONS0LIDADO!G127</f>
        <v>1</v>
      </c>
      <c r="D11" s="478">
        <f>[6]CONS0LIDADO!H127</f>
        <v>0.04</v>
      </c>
      <c r="E11" s="379">
        <f>[6]CONS0LIDADO!I127</f>
        <v>80000000</v>
      </c>
      <c r="F11" s="379">
        <f>[6]CONS0LIDADO!J127</f>
        <v>0</v>
      </c>
      <c r="G11" s="474">
        <f>F11/E11</f>
        <v>0</v>
      </c>
    </row>
    <row r="12" spans="1:7" ht="69" customHeight="1" thickBot="1" x14ac:dyDescent="0.3">
      <c r="A12" s="1">
        <v>10</v>
      </c>
      <c r="B12" s="442" t="s">
        <v>338</v>
      </c>
      <c r="C12" s="475">
        <f>[6]CONS0LIDADO!G128</f>
        <v>18</v>
      </c>
      <c r="D12" s="477">
        <f>[6]CONS0LIDADO!H128</f>
        <v>0.57130000000000003</v>
      </c>
      <c r="E12" s="377">
        <f>[6]CONS0LIDADO!I128</f>
        <v>2145157108.999999</v>
      </c>
      <c r="F12" s="377">
        <f>[6]CONS0LIDADO!J128</f>
        <v>1053903109</v>
      </c>
      <c r="G12" s="474">
        <f>F12/E12</f>
        <v>0.49129413625619928</v>
      </c>
    </row>
    <row r="13" spans="1:7" ht="35.1" customHeight="1" thickBot="1" x14ac:dyDescent="0.3">
      <c r="A13" s="1">
        <v>11</v>
      </c>
      <c r="B13" s="442" t="s">
        <v>339</v>
      </c>
      <c r="C13" s="475">
        <f>[6]CONS0LIDADO!G129</f>
        <v>1</v>
      </c>
      <c r="D13" s="477">
        <f>[6]CONS0LIDADO!H129</f>
        <v>0</v>
      </c>
      <c r="E13" s="379">
        <f>[6]CONS0LIDADO!I129</f>
        <v>0</v>
      </c>
      <c r="F13" s="379">
        <f>[6]CONS0LIDADO!J129</f>
        <v>0</v>
      </c>
      <c r="G13" s="474">
        <v>0</v>
      </c>
    </row>
    <row r="14" spans="1:7" ht="35.1" customHeight="1" thickBot="1" x14ac:dyDescent="0.3">
      <c r="A14" s="1">
        <v>12</v>
      </c>
      <c r="B14" s="442" t="s">
        <v>340</v>
      </c>
      <c r="C14" s="475">
        <f>[6]CONS0LIDADO!G130</f>
        <v>4</v>
      </c>
      <c r="D14" s="479">
        <f>[6]CONS0LIDADO!H130</f>
        <v>0.25750000000000001</v>
      </c>
      <c r="E14" s="377">
        <f>[6]CONS0LIDADO!I130</f>
        <v>150000000</v>
      </c>
      <c r="F14" s="377">
        <f>[6]CONS0LIDADO!J130</f>
        <v>22400000</v>
      </c>
      <c r="G14" s="480">
        <f>F14/E14</f>
        <v>0.14933333333333335</v>
      </c>
    </row>
    <row r="15" spans="1:7" ht="35.1" customHeight="1" thickBot="1" x14ac:dyDescent="0.3">
      <c r="A15" s="1">
        <v>13</v>
      </c>
      <c r="B15" s="442" t="s">
        <v>341</v>
      </c>
      <c r="C15" s="475">
        <f>[6]CONS0LIDADO!G131</f>
        <v>1</v>
      </c>
      <c r="D15" s="477">
        <f>[6]CONS0LIDADO!H131</f>
        <v>0</v>
      </c>
      <c r="E15" s="379">
        <f>[6]CONS0LIDADO!I131</f>
        <v>0</v>
      </c>
      <c r="F15" s="379">
        <f>[6]CONS0LIDADO!J131</f>
        <v>0</v>
      </c>
      <c r="G15" s="474">
        <v>0</v>
      </c>
    </row>
    <row r="16" spans="1:7" ht="35.1" hidden="1" customHeight="1" thickBot="1" x14ac:dyDescent="0.3">
      <c r="A16" s="1">
        <v>14</v>
      </c>
      <c r="B16" s="442" t="s">
        <v>342</v>
      </c>
      <c r="C16" s="475">
        <f>[6]CONS0LIDADO!G132</f>
        <v>1</v>
      </c>
      <c r="D16" s="477">
        <f>[6]CONS0LIDADO!H132</f>
        <v>1</v>
      </c>
      <c r="E16" s="377">
        <f>[6]CONS0LIDADO!I132</f>
        <v>57000000</v>
      </c>
      <c r="F16" s="377">
        <f>[6]CONS0LIDADO!J132</f>
        <v>42752435</v>
      </c>
      <c r="G16" s="474">
        <f t="shared" ref="G16:G21" si="0">F16/E16</f>
        <v>0.75004271929824562</v>
      </c>
    </row>
    <row r="17" spans="1:7" ht="35.1" customHeight="1" thickBot="1" x14ac:dyDescent="0.3">
      <c r="A17" s="1">
        <v>15</v>
      </c>
      <c r="B17" s="442" t="s">
        <v>343</v>
      </c>
      <c r="C17" s="475">
        <f>[6]CONS0LIDADO!G133</f>
        <v>1</v>
      </c>
      <c r="D17" s="477">
        <f>[6]CONS0LIDADO!H133</f>
        <v>0.5</v>
      </c>
      <c r="E17" s="377">
        <f>[6]CONS0LIDADO!I133</f>
        <v>144916572.75</v>
      </c>
      <c r="F17" s="377">
        <f>[6]CONS0LIDADO!J133</f>
        <v>0</v>
      </c>
      <c r="G17" s="474">
        <f t="shared" si="0"/>
        <v>0</v>
      </c>
    </row>
    <row r="18" spans="1:7" ht="35.1" customHeight="1" thickBot="1" x14ac:dyDescent="0.3">
      <c r="A18" s="1">
        <v>16</v>
      </c>
      <c r="B18" s="442" t="s">
        <v>344</v>
      </c>
      <c r="C18" s="472">
        <f>[6]CONS0LIDADO!G134</f>
        <v>3</v>
      </c>
      <c r="D18" s="477">
        <f>[6]CONS0LIDADO!H134</f>
        <v>0.25</v>
      </c>
      <c r="E18" s="379">
        <f>[6]CONS0LIDADO!I134</f>
        <v>576420191</v>
      </c>
      <c r="F18" s="379">
        <f>[6]CONS0LIDADO!J134</f>
        <v>0</v>
      </c>
      <c r="G18" s="474">
        <f t="shared" si="0"/>
        <v>0</v>
      </c>
    </row>
    <row r="19" spans="1:7" ht="35.1" customHeight="1" thickBot="1" x14ac:dyDescent="0.3">
      <c r="A19" s="1">
        <v>17</v>
      </c>
      <c r="B19" s="442" t="s">
        <v>345</v>
      </c>
      <c r="C19" s="475">
        <f>[6]CONS0LIDADO!G135</f>
        <v>1</v>
      </c>
      <c r="D19" s="477">
        <f>[6]CONS0LIDADO!H135</f>
        <v>5.0000000000000001E-3</v>
      </c>
      <c r="E19" s="379">
        <f>[6]CONS0LIDADO!I135</f>
        <v>100000000</v>
      </c>
      <c r="F19" s="379">
        <f>[6]CONS0LIDADO!J135</f>
        <v>0</v>
      </c>
      <c r="G19" s="474">
        <f t="shared" si="0"/>
        <v>0</v>
      </c>
    </row>
    <row r="20" spans="1:7" ht="65.25" customHeight="1" thickBot="1" x14ac:dyDescent="0.3">
      <c r="A20" s="1">
        <v>18</v>
      </c>
      <c r="B20" s="442" t="s">
        <v>346</v>
      </c>
      <c r="C20" s="481">
        <f>[6]CONS0LIDADO!G136</f>
        <v>1</v>
      </c>
      <c r="D20" s="482">
        <f>[6]CONS0LIDADO!H136</f>
        <v>0</v>
      </c>
      <c r="E20" s="383">
        <f>[6]CONS0LIDADO!I136</f>
        <v>5401225878</v>
      </c>
      <c r="F20" s="383">
        <f>[6]CONS0LIDADO!J136</f>
        <v>1157711071</v>
      </c>
      <c r="G20" s="474">
        <f t="shared" si="0"/>
        <v>0.21434228028039526</v>
      </c>
    </row>
    <row r="21" spans="1:7" ht="24.75" customHeight="1" thickBot="1" x14ac:dyDescent="0.3">
      <c r="B21" s="345" t="s">
        <v>0</v>
      </c>
      <c r="C21" s="483">
        <f>SUM(C3:C20)</f>
        <v>85</v>
      </c>
      <c r="D21" s="484">
        <f>SUM(D3:D20)/18</f>
        <v>0.27009444444444441</v>
      </c>
      <c r="E21" s="485">
        <f>SUM(E3:E20)</f>
        <v>68831678228</v>
      </c>
      <c r="F21" s="485">
        <f>SUM(F3:F20)</f>
        <v>25061761322.760002</v>
      </c>
      <c r="G21" s="486">
        <f t="shared" si="0"/>
        <v>0.36410213971167049</v>
      </c>
    </row>
    <row r="22" spans="1:7" ht="24.75" hidden="1" customHeight="1" x14ac:dyDescent="0.25">
      <c r="B22" s="94"/>
      <c r="C22" s="95"/>
      <c r="D22" s="103">
        <v>1</v>
      </c>
      <c r="E22" s="106"/>
      <c r="F22" s="106"/>
      <c r="G22" s="103">
        <v>1</v>
      </c>
    </row>
    <row r="23" spans="1:7" hidden="1" x14ac:dyDescent="0.25">
      <c r="D23" s="249">
        <v>0</v>
      </c>
      <c r="G23" s="250">
        <v>0</v>
      </c>
    </row>
    <row r="24" spans="1:7" ht="15.75" thickBot="1" x14ac:dyDescent="0.3"/>
    <row r="25" spans="1:7" ht="15.75" thickBot="1" x14ac:dyDescent="0.3">
      <c r="E25" s="735" t="s">
        <v>16</v>
      </c>
      <c r="F25" s="736"/>
      <c r="G25" s="737"/>
    </row>
    <row r="26" spans="1:7" ht="15.75" thickBot="1" x14ac:dyDescent="0.3">
      <c r="E26" s="258" t="s">
        <v>13</v>
      </c>
      <c r="F26" s="256" t="s">
        <v>14</v>
      </c>
      <c r="G26" s="257" t="s">
        <v>15</v>
      </c>
    </row>
    <row r="27" spans="1:7" x14ac:dyDescent="0.25">
      <c r="E27" s="144" t="s">
        <v>326</v>
      </c>
      <c r="F27" s="145">
        <v>15</v>
      </c>
      <c r="G27" s="159">
        <f>F27/F30</f>
        <v>0.17647058823529413</v>
      </c>
    </row>
    <row r="28" spans="1:7" x14ac:dyDescent="0.25">
      <c r="E28" s="146" t="s">
        <v>325</v>
      </c>
      <c r="F28" s="147">
        <v>19</v>
      </c>
      <c r="G28" s="159">
        <f>F28/F30</f>
        <v>0.22352941176470589</v>
      </c>
    </row>
    <row r="29" spans="1:7" ht="15.75" thickBot="1" x14ac:dyDescent="0.3">
      <c r="E29" s="148" t="s">
        <v>321</v>
      </c>
      <c r="F29" s="149">
        <v>51</v>
      </c>
      <c r="G29" s="159">
        <f>F29/F30</f>
        <v>0.6</v>
      </c>
    </row>
    <row r="30" spans="1:7" ht="15.75" thickBot="1" x14ac:dyDescent="0.3">
      <c r="E30" s="410" t="s">
        <v>17</v>
      </c>
      <c r="F30" s="150">
        <f>SUM(F27:F29)</f>
        <v>85</v>
      </c>
      <c r="G30" s="160"/>
    </row>
    <row r="31" spans="1:7" ht="15.75" thickBot="1" x14ac:dyDescent="0.3">
      <c r="E31" s="436"/>
      <c r="F31" s="436"/>
      <c r="G31" s="437"/>
    </row>
    <row r="32" spans="1:7" ht="15.75" thickBot="1" x14ac:dyDescent="0.3">
      <c r="E32" s="735" t="s">
        <v>32</v>
      </c>
      <c r="F32" s="736"/>
      <c r="G32" s="737"/>
    </row>
    <row r="33" spans="5:7" ht="15.75" thickBot="1" x14ac:dyDescent="0.3">
      <c r="E33" s="438" t="s">
        <v>3</v>
      </c>
      <c r="F33" s="439" t="s">
        <v>4</v>
      </c>
      <c r="G33" s="161" t="s">
        <v>214</v>
      </c>
    </row>
    <row r="34" spans="5:7" ht="15.75" thickBot="1" x14ac:dyDescent="0.3">
      <c r="E34" s="412">
        <f>E21</f>
        <v>68831678228</v>
      </c>
      <c r="F34" s="440">
        <f>F21</f>
        <v>25061761322.760002</v>
      </c>
      <c r="G34" s="69">
        <f>F34/E34</f>
        <v>0.36410213971167049</v>
      </c>
    </row>
  </sheetData>
  <autoFilter ref="A2:G23">
    <filterColumn colId="6">
      <filters>
        <filter val="0,00%"/>
        <filter val="14,93%"/>
        <filter val="21,43%"/>
        <filter val="31,38%"/>
        <filter val="36,41%"/>
        <filter val="49,13%"/>
        <filter val="6,40%"/>
      </filters>
    </filterColumn>
  </autoFilter>
  <mergeCells count="3">
    <mergeCell ref="B1:G1"/>
    <mergeCell ref="E25:G25"/>
    <mergeCell ref="E32:G32"/>
  </mergeCells>
  <conditionalFormatting sqref="D3:D23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2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3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">
      <colorScale>
        <cfvo type="percent" val="25"/>
        <cfvo type="percentile" val="50"/>
        <cfvo type="max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48</vt:i4>
      </vt:variant>
    </vt:vector>
  </HeadingPairs>
  <TitlesOfParts>
    <vt:vector size="73" baseType="lpstr">
      <vt:lpstr> CONSOLIDADO GENERAL</vt:lpstr>
      <vt:lpstr> CONSOLIDADO NIVEL CENTRAL </vt:lpstr>
      <vt:lpstr>1.DESPACHO</vt:lpstr>
      <vt:lpstr>2.1 GOBIERNO Y CONVIVENCIA</vt:lpstr>
      <vt:lpstr>2.2 DESARROLLO SOCIAL</vt:lpstr>
      <vt:lpstr>2.3 SALUD</vt:lpstr>
      <vt:lpstr>2.4 DESARROLLO ECONOMICO</vt:lpstr>
      <vt:lpstr>2.5 EDUCACION</vt:lpstr>
      <vt:lpstr>2.6 INFRAESTRUCTURA</vt:lpstr>
      <vt:lpstr>2.7 TRANSITO</vt:lpstr>
      <vt:lpstr>2.8 TICS</vt:lpstr>
      <vt:lpstr>2.9 HACIENDA</vt:lpstr>
      <vt:lpstr>3.1 FORTALECIMIENTO INSTITUCION</vt:lpstr>
      <vt:lpstr>3.2 JURIDICA</vt:lpstr>
      <vt:lpstr>3.4 BIENES Y SUMINISTROS</vt:lpstr>
      <vt:lpstr>3.5 PLANEACION</vt:lpstr>
      <vt:lpstr>3.6 CONTROL INTERNO</vt:lpstr>
      <vt:lpstr>3.7. DACID</vt:lpstr>
      <vt:lpstr>4.1 FOMVIVIENDA</vt:lpstr>
      <vt:lpstr>4.2 EDUA</vt:lpstr>
      <vt:lpstr>4.3 CORPOCULTURA</vt:lpstr>
      <vt:lpstr>4.4 IMDERA</vt:lpstr>
      <vt:lpstr>4.5 EPA</vt:lpstr>
      <vt:lpstr>4.6 AMABLE</vt:lpstr>
      <vt:lpstr>4.7 REDSALUD</vt:lpstr>
      <vt:lpstr>' CONSOLIDADO GENERAL'!Área_de_impresión</vt:lpstr>
      <vt:lpstr>' CONSOLIDADO NIVEL CENTRAL '!Área_de_impresión</vt:lpstr>
      <vt:lpstr>'1.DESPACHO'!Área_de_impresión</vt:lpstr>
      <vt:lpstr>'2.1 GOBIERNO Y CONVIVENCIA'!Área_de_impresión</vt:lpstr>
      <vt:lpstr>'2.2 DESARROLLO SOCIAL'!Área_de_impresión</vt:lpstr>
      <vt:lpstr>'2.3 SALUD'!Área_de_impresión</vt:lpstr>
      <vt:lpstr>'2.4 DESARROLLO ECONOMICO'!Área_de_impresión</vt:lpstr>
      <vt:lpstr>'2.5 EDUCACION'!Área_de_impresión</vt:lpstr>
      <vt:lpstr>'2.6 INFRAESTRUCTURA'!Área_de_impresión</vt:lpstr>
      <vt:lpstr>'2.7 TRANSITO'!Área_de_impresión</vt:lpstr>
      <vt:lpstr>'2.8 TICS'!Área_de_impresión</vt:lpstr>
      <vt:lpstr>'2.9 HACIENDA'!Área_de_impresión</vt:lpstr>
      <vt:lpstr>'3.1 FORTALECIMIENTO INSTITUCION'!Área_de_impresión</vt:lpstr>
      <vt:lpstr>'3.2 JURIDICA'!Área_de_impresión</vt:lpstr>
      <vt:lpstr>'3.4 BIENES Y SUMINISTROS'!Área_de_impresión</vt:lpstr>
      <vt:lpstr>'3.5 PLANEACION'!Área_de_impresión</vt:lpstr>
      <vt:lpstr>'3.6 CONTROL INTERNO'!Área_de_impresión</vt:lpstr>
      <vt:lpstr>'3.7. DACID'!Área_de_impresión</vt:lpstr>
      <vt:lpstr>'4.1 FOMVIVIENDA'!Área_de_impresión</vt:lpstr>
      <vt:lpstr>'4.2 EDUA'!Área_de_impresión</vt:lpstr>
      <vt:lpstr>'4.3 CORPOCULTURA'!Área_de_impresión</vt:lpstr>
      <vt:lpstr>'4.4 IMDERA'!Área_de_impresión</vt:lpstr>
      <vt:lpstr>'4.5 EPA'!Área_de_impresión</vt:lpstr>
      <vt:lpstr>'4.6 AMABLE'!Área_de_impresión</vt:lpstr>
      <vt:lpstr>'4.7 REDSALUD'!Área_de_impresión</vt:lpstr>
      <vt:lpstr>' CONSOLIDADO GENERAL'!Títulos_a_imprimir</vt:lpstr>
      <vt:lpstr>' CONSOLIDADO NIVEL CENTRAL '!Títulos_a_imprimir</vt:lpstr>
      <vt:lpstr>'1.DESPACHO'!Títulos_a_imprimir</vt:lpstr>
      <vt:lpstr>'2.1 GOBIERNO Y CONVIVENCIA'!Títulos_a_imprimir</vt:lpstr>
      <vt:lpstr>'2.2 DESARROLLO SOCIAL'!Títulos_a_imprimir</vt:lpstr>
      <vt:lpstr>'2.3 SALUD'!Títulos_a_imprimir</vt:lpstr>
      <vt:lpstr>'2.4 DESARROLLO ECONOMICO'!Títulos_a_imprimir</vt:lpstr>
      <vt:lpstr>'2.5 EDUCACION'!Títulos_a_imprimir</vt:lpstr>
      <vt:lpstr>'2.7 TRANSITO'!Títulos_a_imprimir</vt:lpstr>
      <vt:lpstr>'2.8 TICS'!Títulos_a_imprimir</vt:lpstr>
      <vt:lpstr>'2.9 HACIENDA'!Títulos_a_imprimir</vt:lpstr>
      <vt:lpstr>'3.1 FORTALECIMIENTO INSTITUCION'!Títulos_a_imprimir</vt:lpstr>
      <vt:lpstr>'3.2 JURIDICA'!Títulos_a_imprimir</vt:lpstr>
      <vt:lpstr>'3.4 BIENES Y SUMINISTROS'!Títulos_a_imprimir</vt:lpstr>
      <vt:lpstr>'3.5 PLANEACION'!Títulos_a_imprimir</vt:lpstr>
      <vt:lpstr>'3.6 CONTROL INTERNO'!Títulos_a_imprimir</vt:lpstr>
      <vt:lpstr>'3.7. DACID'!Títulos_a_imprimir</vt:lpstr>
      <vt:lpstr>'4.1 FOMVIVIENDA'!Títulos_a_imprimir</vt:lpstr>
      <vt:lpstr>'4.2 EDUA'!Títulos_a_imprimir</vt:lpstr>
      <vt:lpstr>'4.4 IMDERA'!Títulos_a_imprimir</vt:lpstr>
      <vt:lpstr>'4.5 EPA'!Títulos_a_imprimir</vt:lpstr>
      <vt:lpstr>'4.6 AMABLE'!Títulos_a_imprimir</vt:lpstr>
      <vt:lpstr>'4.7 REDSALUD'!Títulos_a_imprimir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P3-DAPM-004</cp:lastModifiedBy>
  <cp:lastPrinted>2021-11-04T19:47:28Z</cp:lastPrinted>
  <dcterms:created xsi:type="dcterms:W3CDTF">2013-02-17T20:31:37Z</dcterms:created>
  <dcterms:modified xsi:type="dcterms:W3CDTF">2021-11-10T16:08:03Z</dcterms:modified>
</cp:coreProperties>
</file>