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20" tabRatio="493" activeTab="0"/>
  </bookViews>
  <sheets>
    <sheet name="SEG_PA_PLANEACION_3T_2021" sheetId="1" r:id="rId1"/>
    <sheet name="CONSOLIDADO" sheetId="2" r:id="rId2"/>
  </sheets>
  <externalReferences>
    <externalReference r:id="rId5"/>
  </externalReferences>
  <definedNames>
    <definedName name="_xlnm._FilterDatabase" localSheetId="1" hidden="1">'CONSOLIDADO'!$H$1:$H$139</definedName>
    <definedName name="_xlfn.AGGREGATE" hidden="1">#NAME?</definedName>
    <definedName name="_xlnm.Print_Area" localSheetId="0">'SEG_PA_PLANEACION_3T_2021'!$A$1:$AB$151</definedName>
    <definedName name="_xlnm.Print_Titles" localSheetId="0">'SEG_PA_PLANEACION_3T_2021'!$1:$10</definedName>
  </definedNames>
  <calcPr fullCalcOnLoad="1"/>
</workbook>
</file>

<file path=xl/comments1.xml><?xml version="1.0" encoding="utf-8"?>
<comments xmlns="http://schemas.openxmlformats.org/spreadsheetml/2006/main">
  <authors>
    <author>andres almonacid</author>
  </authors>
  <commentList>
    <comment ref="Q38" authorId="0">
      <text>
        <r>
          <rPr>
            <b/>
            <sz val="9"/>
            <rFont val="Tahoma"/>
            <family val="2"/>
          </rPr>
          <t>andres almonacid:</t>
        </r>
        <r>
          <rPr>
            <sz val="9"/>
            <rFont val="Tahoma"/>
            <family val="2"/>
          </rPr>
          <t xml:space="preserve">
esto es debido a que Tania tiene a la fecha 34 asentamientos caracterizados, con fichas y cruzados con la base de datos de sisben</t>
        </r>
      </text>
    </comment>
    <comment ref="Q39" authorId="0">
      <text>
        <r>
          <rPr>
            <b/>
            <sz val="9"/>
            <rFont val="Tahoma"/>
            <family val="2"/>
          </rPr>
          <t>andres almonacid:</t>
        </r>
        <r>
          <rPr>
            <sz val="9"/>
            <rFont val="Tahoma"/>
            <family val="2"/>
          </rPr>
          <t xml:space="preserve">
se debe realizar o desarrollar el document completo de acuerdo a los parametros establecidos  temas adicionales que complementen las acciones</t>
        </r>
      </text>
    </comment>
    <comment ref="O49" authorId="0">
      <text>
        <r>
          <rPr>
            <b/>
            <sz val="9"/>
            <rFont val="Tahoma"/>
            <family val="2"/>
          </rPr>
          <t>andres almonacid:</t>
        </r>
        <r>
          <rPr>
            <sz val="9"/>
            <rFont val="Tahoma"/>
            <family val="2"/>
          </rPr>
          <t xml:space="preserve">
Se georeferencia, se hara el historial de la valla o la publicidad, haciendo una hoja de vida de cada elemento</t>
        </r>
      </text>
    </comment>
    <comment ref="O52" authorId="0">
      <text>
        <r>
          <rPr>
            <b/>
            <sz val="9"/>
            <rFont val="Tahoma"/>
            <family val="2"/>
          </rPr>
          <t>andres almonacid:</t>
        </r>
        <r>
          <rPr>
            <sz val="9"/>
            <rFont val="Tahoma"/>
            <family val="2"/>
          </rPr>
          <t xml:space="preserve">
</t>
        </r>
      </text>
    </comment>
    <comment ref="M65" authorId="0">
      <text>
        <r>
          <rPr>
            <b/>
            <sz val="9"/>
            <rFont val="Tahoma"/>
            <family val="2"/>
          </rPr>
          <t>andres almonacid:</t>
        </r>
        <r>
          <rPr>
            <sz val="9"/>
            <rFont val="Tahoma"/>
            <family val="2"/>
          </rPr>
          <t xml:space="preserve">
Revisión y ajuste leer doumento y extraer la información para validar</t>
        </r>
      </text>
    </comment>
    <comment ref="Q82" authorId="0">
      <text>
        <r>
          <rPr>
            <b/>
            <sz val="9"/>
            <rFont val="Tahoma"/>
            <family val="2"/>
          </rPr>
          <t>andres almonacid:</t>
        </r>
        <r>
          <rPr>
            <sz val="9"/>
            <rFont val="Tahoma"/>
            <family val="2"/>
          </rPr>
          <t xml:space="preserve">
Es solo el documento de la Ficha !C para que no vaya a existir diferencias, el P.O.Z completo es toda la avenida centenario</t>
        </r>
      </text>
    </comment>
    <comment ref="O88" authorId="0">
      <text>
        <r>
          <rPr>
            <b/>
            <sz val="9"/>
            <rFont val="Tahoma"/>
            <family val="2"/>
          </rPr>
          <t>andres almonacid:</t>
        </r>
        <r>
          <rPr>
            <sz val="9"/>
            <rFont val="Tahoma"/>
            <family val="2"/>
          </rPr>
          <t xml:space="preserve">
NO la respondí, debemos tener claro el tema de contratación de veterinario o similar y definir con zoonosis</t>
        </r>
      </text>
    </comment>
    <comment ref="Q122" authorId="0">
      <text>
        <r>
          <rPr>
            <b/>
            <sz val="9"/>
            <rFont val="Tahoma"/>
            <family val="2"/>
          </rPr>
          <t>andres almonacid:</t>
        </r>
        <r>
          <rPr>
            <sz val="9"/>
            <rFont val="Tahoma"/>
            <family val="2"/>
          </rPr>
          <t xml:space="preserve">
proyectos nuevos</t>
        </r>
      </text>
    </comment>
  </commentList>
</comments>
</file>

<file path=xl/comments2.xml><?xml version="1.0" encoding="utf-8"?>
<comments xmlns="http://schemas.openxmlformats.org/spreadsheetml/2006/main">
  <authors>
    <author>andres almonacid</author>
  </authors>
  <commentList>
    <comment ref="F29" authorId="0">
      <text>
        <r>
          <rPr>
            <b/>
            <sz val="9"/>
            <rFont val="Tahoma"/>
            <family val="2"/>
          </rPr>
          <t>andres almonacid:</t>
        </r>
        <r>
          <rPr>
            <sz val="9"/>
            <rFont val="Tahoma"/>
            <family val="2"/>
          </rPr>
          <t xml:space="preserve">
esto es debido a que Tania tiene a la fecha 34 asentamientos caracterizados, con fichas y cruzados con la base de datos de sisben</t>
        </r>
      </text>
    </comment>
    <comment ref="F30" authorId="0">
      <text>
        <r>
          <rPr>
            <b/>
            <sz val="9"/>
            <rFont val="Tahoma"/>
            <family val="2"/>
          </rPr>
          <t>andres almonacid:</t>
        </r>
        <r>
          <rPr>
            <sz val="9"/>
            <rFont val="Tahoma"/>
            <family val="2"/>
          </rPr>
          <t xml:space="preserve">
se debe realizar o desarrollar el document completo de acuerdo a los parametros establecidos  temas adicionales que complementen las acciones</t>
        </r>
      </text>
    </comment>
    <comment ref="B40" authorId="0">
      <text>
        <r>
          <rPr>
            <b/>
            <sz val="9"/>
            <rFont val="Tahoma"/>
            <family val="2"/>
          </rPr>
          <t>andres almonacid:</t>
        </r>
        <r>
          <rPr>
            <sz val="9"/>
            <rFont val="Tahoma"/>
            <family val="2"/>
          </rPr>
          <t xml:space="preserve">
Se georeferencia, se hara el historial de la valla o la publicidad, haciendo una hoja de vida de cada elemento</t>
        </r>
      </text>
    </comment>
    <comment ref="B43" authorId="0">
      <text>
        <r>
          <rPr>
            <b/>
            <sz val="9"/>
            <rFont val="Tahoma"/>
            <family val="2"/>
          </rPr>
          <t>andres almonacid:</t>
        </r>
        <r>
          <rPr>
            <sz val="9"/>
            <rFont val="Tahoma"/>
            <family val="2"/>
          </rPr>
          <t xml:space="preserve">
</t>
        </r>
      </text>
    </comment>
    <comment ref="A56" authorId="0">
      <text>
        <r>
          <rPr>
            <b/>
            <sz val="9"/>
            <rFont val="Tahoma"/>
            <family val="2"/>
          </rPr>
          <t>andres almonacid:</t>
        </r>
        <r>
          <rPr>
            <sz val="9"/>
            <rFont val="Tahoma"/>
            <family val="2"/>
          </rPr>
          <t xml:space="preserve">
Revisión y ajuste leer doumento y extraer la información para validar</t>
        </r>
      </text>
    </comment>
    <comment ref="F73" authorId="0">
      <text>
        <r>
          <rPr>
            <b/>
            <sz val="9"/>
            <rFont val="Tahoma"/>
            <family val="2"/>
          </rPr>
          <t>andres almonacid:</t>
        </r>
        <r>
          <rPr>
            <sz val="9"/>
            <rFont val="Tahoma"/>
            <family val="2"/>
          </rPr>
          <t xml:space="preserve">
Es solo el documento de la Ficha !C para que no vaya a existir diferencias, el P.O.Z completo es toda la avenida centenario</t>
        </r>
      </text>
    </comment>
    <comment ref="B79" authorId="0">
      <text>
        <r>
          <rPr>
            <b/>
            <sz val="9"/>
            <rFont val="Tahoma"/>
            <family val="2"/>
          </rPr>
          <t>andres almonacid:</t>
        </r>
        <r>
          <rPr>
            <sz val="9"/>
            <rFont val="Tahoma"/>
            <family val="2"/>
          </rPr>
          <t xml:space="preserve">
NO la respondí, debemos tener claro el tema de contratación de veterinario o similar y definir con zoonosis</t>
        </r>
      </text>
    </comment>
    <comment ref="F113" authorId="0">
      <text>
        <r>
          <rPr>
            <b/>
            <sz val="9"/>
            <rFont val="Tahoma"/>
            <family val="2"/>
          </rPr>
          <t>andres almonacid:</t>
        </r>
        <r>
          <rPr>
            <sz val="9"/>
            <rFont val="Tahoma"/>
            <family val="2"/>
          </rPr>
          <t xml:space="preserve">
proyectos nuevos</t>
        </r>
      </text>
    </comment>
  </commentList>
</comments>
</file>

<file path=xl/sharedStrings.xml><?xml version="1.0" encoding="utf-8"?>
<sst xmlns="http://schemas.openxmlformats.org/spreadsheetml/2006/main" count="866" uniqueCount="420">
  <si>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</si>
  <si>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</si>
  <si>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</si>
  <si>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</si>
  <si>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</si>
  <si>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</si>
  <si>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</si>
  <si>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</si>
  <si>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</si>
  <si>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</si>
  <si>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</si>
  <si>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</si>
  <si>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</si>
  <si>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</si>
  <si>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</si>
  <si>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</si>
  <si>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</si>
  <si>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</si>
  <si>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</si>
  <si>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</si>
  <si>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</si>
  <si>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</si>
  <si>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</si>
  <si>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</si>
  <si>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</si>
  <si>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</si>
  <si>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</si>
  <si>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</si>
  <si>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</si>
  <si>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</si>
  <si>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</si>
  <si>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Ambiente y desarrollo sostenible</t>
  </si>
  <si>
    <t>13, 15</t>
  </si>
  <si>
    <t>Sectores que incorporan alternativas para la conservación de la biodiversidad y sus servicios ecosistémicos</t>
  </si>
  <si>
    <t xml:space="preserve">Servicios de reforestación de ecosistemas (siembra, mantenimiento y monitoreo de especies vegetales como arbolado urbano y guaduales)  </t>
  </si>
  <si>
    <t xml:space="preserve">Plantaciones forestales mantenidas (hectareas sembradas, árboles y guaduales intervenidos) </t>
  </si>
  <si>
    <t>Servicios de recuperación de cuerpos de agua(intervenciones de mantenimiento, adecuaciones en senderos  y recuperación en areas de quebradas) 3202037</t>
  </si>
  <si>
    <t xml:space="preserve">Extensión de cuerpo de agua recuperadas (hectareas o metros lineales intervenidos) </t>
  </si>
  <si>
    <t>450 ml</t>
  </si>
  <si>
    <t>3000 ml</t>
  </si>
  <si>
    <t>Porcentaje de departamentos y ciudades capitales que incorporan criterios de cambio climático en las líneas instrumentales de sus planes de desarrollo</t>
  </si>
  <si>
    <t>S.D.</t>
  </si>
  <si>
    <t>Gestión del cambio climático para un desarrollo bajo en carbono y resiliente al clima.</t>
  </si>
  <si>
    <t xml:space="preserve">Servicio de producto de plántulas (Suministro de material vegetal permanente para los diferentes proyectos ambientales) </t>
  </si>
  <si>
    <t xml:space="preserve">Plántulas producidas en el vivero municipal </t>
  </si>
  <si>
    <t>2000 plantulas</t>
  </si>
  <si>
    <t>12000 plantulas</t>
  </si>
  <si>
    <t>porcentaje de residuos sólidos efectivamente aprovechados</t>
  </si>
  <si>
    <t xml:space="preserve">Documentos de lineamientos técnicos para el fortalecimiento del desempeño ambiental de los sectores productivos </t>
  </si>
  <si>
    <t xml:space="preserve">Documento actualización del PGIRS Armenia </t>
  </si>
  <si>
    <t>sectores que incorporan alternativas para la conservación de la biodiversidad y sus servicios ecosistémicos</t>
  </si>
  <si>
    <t xml:space="preserve">Documentos de lineamientos técnicos para el desarrollo de la política nacional ambiental y la participación en la gestión ambiental </t>
  </si>
  <si>
    <t>Elaboración de estrategias para el desarrollo del programa nacional de educación ambiental y participación.</t>
  </si>
  <si>
    <t xml:space="preserve">Servicio de asistencia técnica para la implementación de las estrategias educativo ambientales y de participación </t>
  </si>
  <si>
    <t xml:space="preserve">Estrategias implementadas de educación ambiental en el municipio de Armenia </t>
  </si>
  <si>
    <t>6, 11, 13, 15</t>
  </si>
  <si>
    <t>Acceso de la población de Armenia a espacios culturales</t>
  </si>
  <si>
    <t xml:space="preserve">Servicio de divulgación de la información de la política nacional de educación ambiental y participación </t>
  </si>
  <si>
    <t xml:space="preserve">Piezas de comunicación sobre educación ambiental y participación editadas </t>
  </si>
  <si>
    <t>6, 11, 15</t>
  </si>
  <si>
    <t>Indice de crecimiento en el ordenamiento ambiental territorial</t>
  </si>
  <si>
    <t xml:space="preserve">Ordenamiento Territorial </t>
  </si>
  <si>
    <t xml:space="preserve">Documentos de lineamientos técnicos para el ordenamiento ambiental territorial  </t>
  </si>
  <si>
    <t>Documentos de lineamientos técnicos con directrices ambientales y de gestión del riesgo en la planificación ambiental territorial divulgados (Generación documento politica pública formulada para el tema  de asentamientos)</t>
  </si>
  <si>
    <t>Vivienda</t>
  </si>
  <si>
    <t>Mejoramiento en el espacio urbano</t>
  </si>
  <si>
    <t>Ordenamiento territorial y desarrollo urbano</t>
  </si>
  <si>
    <t>Control Urbano en la planificación y ordenamiento del territorio</t>
  </si>
  <si>
    <t>Acciones implementadas para dar cumplimientos a las normas urbanisticas y las normas establecidas en el POT</t>
  </si>
  <si>
    <t xml:space="preserve">Documentos de lineamientos técnicos </t>
  </si>
  <si>
    <t>Manual de publicidad exterior visual (Documentos de lineamientos tecnicos Elaborado)</t>
  </si>
  <si>
    <t>Revisión fichas normativas POT y actualización del plan vial</t>
  </si>
  <si>
    <t>Diagnostico, caracterización e identificacón de los suelos de protección ambiental</t>
  </si>
  <si>
    <t>Documentos de planeación</t>
  </si>
  <si>
    <t>Documentos de planeación de la etapa de alistamiento y diagnóstico del Plan de Ordenamiento elaborados (Dossier, )</t>
  </si>
  <si>
    <t>Actualización del expediente municipal urbano</t>
  </si>
  <si>
    <t>Planes parciales</t>
  </si>
  <si>
    <t>Planes de ordenamiento zonales</t>
  </si>
  <si>
    <t xml:space="preserve">Fortalecimiento de la Gestion y dirección del sector ambiente y Desarrollo sostenible </t>
  </si>
  <si>
    <t xml:space="preserve">Protección y bienestar animal </t>
  </si>
  <si>
    <t xml:space="preserve">Politica pública de bienestar animal formulada </t>
  </si>
  <si>
    <t>INSTITUCIONAL Y GOBIERNO: "Servir y hacer las cosas bien"</t>
  </si>
  <si>
    <t>Gobierno territorial</t>
  </si>
  <si>
    <t xml:space="preserve">Incremento en el índice de desempeño institucional IDI </t>
  </si>
  <si>
    <t>Desarrollo y modernizacion institucional: Planeando Pa' Todos - Mejoramiento de la planeación territorial y sectorial</t>
  </si>
  <si>
    <t xml:space="preserve">Instrumentos de Planificación Estratégica y Gestíón </t>
  </si>
  <si>
    <t>Porcentaje de aplicación de los instrumentos de ejecución, seguimiento, monitoreo y evaluación del Plan de Desarrollo Municipal:  cuadro de control y monitoreo PDM 2020-2023,  POAI Plan Operativo Anual de Inversiones, Plan de Acción, PAAC Plan Anticorrupción y de Atención al Ciudadano, Ficha Básica Muncipal.</t>
  </si>
  <si>
    <t>Sistema para la Planeación del Banco de Programas y Proyectos de Inversión Municipal.</t>
  </si>
  <si>
    <t xml:space="preserve">Porcentaje de implementación del Sistema para la Planeación del Banco de Programas y Proyectos de Inversión Municipal, compuesto por los Módulos del  SUIFP Sistema Unificado de Inversiones y Finanzas Pública:  PPTO Programación Proyecto Presupuesto, Evaluacion y Segumiento y  MGA aplicación informática para la presentación y evaluación ex ante de los proyectos de inversión pública
denominada Metodología General Ajustada </t>
  </si>
  <si>
    <t>Sistemas  y Aplicativos  para la Planeación Estratégica</t>
  </si>
  <si>
    <t>Corresponde al acompañamiento, asesoría y seguimiento técnico para la transferencia de herramientas de gestión y conocimiento a entidades nacionales y territoriales en políticas, planes , proyectos y programas</t>
  </si>
  <si>
    <t>Porcentaje de asistencia técnica  y metodologica a las diferentes instancias de Participación según la normativa Nacional y Local vigentes.</t>
  </si>
  <si>
    <t>Inspección de Control Urbano</t>
  </si>
  <si>
    <t xml:space="preserve">Número de procesos de control y contravención urbanistica depurados en la inspección de control urbano </t>
  </si>
  <si>
    <t>Ciencia, Tecnolgía e Innovación</t>
  </si>
  <si>
    <t>4, 5, 9, 10, 16, 17</t>
  </si>
  <si>
    <t>inversión en actividades de ciencia, tecnología e innovación (acti) como porcentaje del pib</t>
  </si>
  <si>
    <t>Consolidación de una institucionalidad habilitante para la Ciencia Tecnología e Innovación (CTI)</t>
  </si>
  <si>
    <t>Documentos de política</t>
  </si>
  <si>
    <t xml:space="preserve">Estudios  para planeación y formulación de políticas </t>
  </si>
  <si>
    <t>Jefe de Oficina</t>
  </si>
  <si>
    <t>Subdirector</t>
  </si>
  <si>
    <t>Consolidación de los drenajes urbanos y espacios públicos naturales</t>
  </si>
  <si>
    <t xml:space="preserve">Estrategias de mitigación y adaptación al cambio climático </t>
  </si>
  <si>
    <t>Estudios técnicos sobre recursos hidricos</t>
  </si>
  <si>
    <t xml:space="preserve">Gestión de residuos y adaptación a la estrategia de economía circular </t>
  </si>
  <si>
    <t>Armenia Capital Verde - Paisaje Cultural Cafetero</t>
  </si>
  <si>
    <t xml:space="preserve">Corresponsabilidad ambiental </t>
  </si>
  <si>
    <t>Educación Ambiental Pa´Todos</t>
  </si>
  <si>
    <t>Control Físico y Urbano</t>
  </si>
  <si>
    <t>Manuales Urbanos</t>
  </si>
  <si>
    <t>Laboratorio de Planificación, urbanismo y arquitectura de la ciudad</t>
  </si>
  <si>
    <t>Unidades de Planificación Intermedia</t>
  </si>
  <si>
    <t>Bienestar para los seres sintientes</t>
  </si>
  <si>
    <t>Planeando Pa´Todos</t>
  </si>
  <si>
    <t xml:space="preserve">Todos participando </t>
  </si>
  <si>
    <t>Inspección Urbana</t>
  </si>
  <si>
    <t>2. Dictar auto de apertura para avocar el conocimiento de los hechos presuntamente violatorios de la normatividad urbanística vigente.</t>
  </si>
  <si>
    <t xml:space="preserve"> 6. Imponer sanciones urbanísticas o archivo de la investigación según corresponda mediante acto administrativo.</t>
  </si>
  <si>
    <t>1. Estudio, análisis y respuesta de las solicitudes presentadas ante el Departamento Administrativo de Planeación Municipal, enmarcadas en las competencias del control urbano.</t>
  </si>
  <si>
    <t>5. Remitir informe a la comisión de veeduría de las Curadurías Urbanas si la licencia aprobada por el Curador Urbano No cumple con el P.O.T para iniciar la investigación correspondiente al curador urbano.</t>
  </si>
  <si>
    <t>9. Entrega de archivo de toda la documentación del proceso, al archivo de gestión del Departamento Administrativo de Planeación Municipal de conformidad con la ley de archivo.</t>
  </si>
  <si>
    <t>1. Diagnóstico del estado de la publicidad exterior visual instalada y su reglamentación.</t>
  </si>
  <si>
    <t>2.Analisis técnico y jurídico de la reglamentación relacionada con la instalación de medios audiovisuales en el municipio de Armenia.</t>
  </si>
  <si>
    <t xml:space="preserve">3. Generación del documento técnico y soportes del Manual de Publicidad exterior visual armonizándolo con la normatividad vigente en el tema.  </t>
  </si>
  <si>
    <t xml:space="preserve">6. Entrega de archivo de toda la documentación del proceso, al archivo de gestión del Departamento Administrativo de Planeación Municipal de conformidad con la ley de archivo.                                                                                                                                                                                                                                 </t>
  </si>
  <si>
    <t>3. Generación del documento técnico y soportes del Manual de espacio público armonizándolo con la normatividad vigente en el tema.</t>
  </si>
  <si>
    <t xml:space="preserve">3. Análisis técnico y jurídico de la reglamentación relacionada con los asentamientos en el municipio de Armenia.  </t>
  </si>
  <si>
    <t>4. Generación del documento y sus correspondientes soportes de conformidad con la normatividad vigente en el tema.</t>
  </si>
  <si>
    <t xml:space="preserve">5. Divulgación del documento.                                                                                                                                                                                                                                                                                                                                                                                                                                                                       </t>
  </si>
  <si>
    <t xml:space="preserve">1. Prediagnóstico.           </t>
  </si>
  <si>
    <t>Inspectoras de Control Urbano</t>
  </si>
  <si>
    <t>1.Intervenciones forestales a traves de  talas y/o poda de árboles</t>
  </si>
  <si>
    <t>2. Georeferenciaciones de arboles y guaduales urbanos</t>
  </si>
  <si>
    <t>Identificar , conservar y administar las areas naturales correspondientes a Ecosistemas estrategicos para la preservación del recurso hidrico y areas naturales protegidas a traves de actividades operativas y documentos con recomendaciones tecnicas .</t>
  </si>
  <si>
    <t xml:space="preserve">Generación de propuestas y alternativas relacionadas con acciones de adaptación y mitigación de cambio climatico, a traves de proyectos piloto </t>
  </si>
  <si>
    <t>Definir  el conjunto de sistemas políticos, sociales, económicos y administrativos encargados de desarrollar y gestionar los recursos hídricos y su distribución, así mismo identificar  temas ligados al agua, desde la salud y la seguridad alimentaria hasta el desarrollo económico, el uso de la tierra y la preservación del entorno natural del que dependen nuestros recursos de agua.</t>
  </si>
  <si>
    <t>Proponer un sistema de aprovechamiento de los recursos fomentando la reducción, reutilización y reciclaje de los elementos, reducciendo asi el impacto sobre los recursos naturales</t>
  </si>
  <si>
    <t>Identificar acciones para la conservación del Paisaje cultural cafetero desde las competencias del ente territorial</t>
  </si>
  <si>
    <t>Ampliar la comprensión de los procesos ambientales en conexión con los sociales,economicos y culturales.</t>
  </si>
  <si>
    <t xml:space="preserve">Fomentar  la protección y preservación del medio ambiente </t>
  </si>
  <si>
    <t>1. Capacitaciones en tematicas ambientales propuestas por las instituciones educativas</t>
  </si>
  <si>
    <t>1. Elaboración de piezas publicitarias</t>
  </si>
  <si>
    <t xml:space="preserve">2.Identificación y  apoyo en procesos de consolidación de los PROCEDA </t>
  </si>
  <si>
    <t>4.Mantenimiento de guaduales urbanos</t>
  </si>
  <si>
    <t xml:space="preserve"> 1.Jornadas de limpieza de quebradas a traves de recolección de basuras, material caido y escombros</t>
  </si>
  <si>
    <t xml:space="preserve">Inventario de asentamientos sub-normales </t>
  </si>
  <si>
    <t xml:space="preserve">3. Solicitud de aplicación de medidas correctivas por incumplimiento de normatividad y documentos de planificación urbana y rural que rigen en el municipio.                                                                                                                                                                                            </t>
  </si>
  <si>
    <t>6. Solicitar a Control Urbano un Auto Investigativo cuando no se cumple la licencia.</t>
  </si>
  <si>
    <t xml:space="preserve">6. Entrega de archivo de toda la documentación del proceso correspondiente a manual de espacio publico, al archivo de gestión del Departamento Administrativo de Planeación Municipal de conformidad con la ley de archivo.                                                                                                                                                                                                         </t>
  </si>
  <si>
    <t xml:space="preserve">Expediente Municipal </t>
  </si>
  <si>
    <t>2. Diagnostico técnico y jurídico del estado actual de los planes de ordenamiento zonal</t>
  </si>
  <si>
    <t>2. Diagnostico técnico y jurídico del estado actual de los planes parciales</t>
  </si>
  <si>
    <t>2. Diagnostico técnico y jurídico del estado actual de los unidades de planificación Rural</t>
  </si>
  <si>
    <t xml:space="preserve">3. Análisis técnico y jurídico de la reglamentación relacionada con las unidades de planificación rural en el municipio de Armenia.  </t>
  </si>
  <si>
    <t>1. Recibir y analizar la solicitud (Visitas tecnicas) proveniente de la subdirección de planeación en relación a casos de infracciones urbanisticas.</t>
  </si>
  <si>
    <t>3. Realizar la notificación del auto de investigación al presunto infractor de conformidad con la ley 1801 de 2016 y demás normas concordantes el Código Administrativo.</t>
  </si>
  <si>
    <t>4. Recibir los descargos por parte del presunto infractor y solicitar las pruebas que pretenda hacer valer. Conforme a la ley 1801 del 2016</t>
  </si>
  <si>
    <t>5. Ordenar la práctica de pruebas solicitadas por el investigado y las que considere pertinentes de oficio, cuando así se requiera.</t>
  </si>
  <si>
    <t>7.  Notificaciones conforme a la ley 1437 de 2011.</t>
  </si>
  <si>
    <t>8. Remitir una vez finalizado el término dado para cumplimiento de la resolución de sanción a Ejecuciones Fiscales y la Secretaría de Infraestructura Municipal según corresponda.</t>
  </si>
  <si>
    <t>Infraestructura de Datos Espaciales</t>
  </si>
  <si>
    <t>2.Adecuación, recuperación y mantenimiento de senderos definidos como  redes de interconexión natural</t>
  </si>
  <si>
    <t>4. Realizar visitas de control de la obra, para verificar el cumplimiento o no de lo aprobado en la licencia y visitas de identificacion de asentamientos</t>
  </si>
  <si>
    <t>2. Generacion e Implementación del nuevo manual de arbol urbano en las políticas de ornamentación del municipio.</t>
  </si>
  <si>
    <t>2020630010066</t>
  </si>
  <si>
    <t>Preservación conservación de áreas protegidas</t>
  </si>
  <si>
    <t xml:space="preserve">Conservación de la biodiversidad y sus servicios ecosistemicos </t>
  </si>
  <si>
    <t>INFRAESTRUCTURA NATURAL: "Armenia Capital Verde"</t>
  </si>
  <si>
    <t>2020630010053</t>
  </si>
  <si>
    <t>Documento de investigación concernientes al cambio climatico</t>
  </si>
  <si>
    <t>Documento de investigación para la conservación de la biodiversidad y sus servicios ecosistemicos (Actualización del Plan de manejo de las quebradas urbanas) 3202004</t>
  </si>
  <si>
    <t>2020630010056</t>
  </si>
  <si>
    <t>Numero de documentos tecnicos realizados (plan de manejo ambiental)</t>
  </si>
  <si>
    <t xml:space="preserve">Documentos de estudios técnicos regionales sobre recurso hídrico </t>
  </si>
  <si>
    <t>2020630010052</t>
  </si>
  <si>
    <t>2020630010051</t>
  </si>
  <si>
    <t>2020630010048</t>
  </si>
  <si>
    <t>Estudio técnicos en el marco de incorporación de varibales ambientales en la planificación sectorial implementados (Paisaje Cultural Cafetero y otros sectores )</t>
  </si>
  <si>
    <t xml:space="preserve">Estrategia para la reducción de impactos ambientales de la minería. </t>
  </si>
  <si>
    <t xml:space="preserve">Servicio de asistencia técnica en el marco de la formulación e implementación de proyectos demostrativos para la reducción de impactos ambientales de la minería </t>
  </si>
  <si>
    <t>Fortalecimiento del desempeño ambiental de los sectores productivos.</t>
  </si>
  <si>
    <t>2020630010094</t>
  </si>
  <si>
    <t>2020630010065</t>
  </si>
  <si>
    <t>Educación Ambiental</t>
  </si>
  <si>
    <t>2020630010055</t>
  </si>
  <si>
    <t>Generar herramientas que permitan establecer elementos de actuacion especifica sobre el territorio.</t>
  </si>
  <si>
    <t>2020630010054</t>
  </si>
  <si>
    <t>Creación del Laboratorio Taller de Planificación, Urbanismo y Arquitectura</t>
  </si>
  <si>
    <t>2020630010067</t>
  </si>
  <si>
    <t xml:space="preserve">Taller (laboratorio) de planificación, urbanismo y arquitectura de la ciudad - Reglamentaciones de POT </t>
  </si>
  <si>
    <t xml:space="preserve">Revisión cartográfica en conjunto de la autoridad ambiental </t>
  </si>
  <si>
    <t>2020630010073</t>
  </si>
  <si>
    <t>Actualizacion del expediente Municipal</t>
  </si>
  <si>
    <t>2020630010071</t>
  </si>
  <si>
    <t>Aplicar la norma del uso del suelo rural en el Municipio de Armenia</t>
  </si>
  <si>
    <t>2020630010070</t>
  </si>
  <si>
    <t>2020630010046</t>
  </si>
  <si>
    <t xml:space="preserve">Fortalecer la capacidad operativa y logística para las instancias de participación ciudadana </t>
  </si>
  <si>
    <t>2020630010047</t>
  </si>
  <si>
    <t xml:space="preserve">Fortalecer los procesos del SISBEN, estratificacion y sistema de informacion geografico
</t>
  </si>
  <si>
    <t>2020630010050</t>
  </si>
  <si>
    <t>Porcentaje de implementación y  adminsitración de los Sistemas  y Aplicativos  para la Planeación  Territorial vigentes en cumplimiento de la normativa Nacional y local vigentes como: Estratificación Socioeconómica como sistema que clasifica en estratos los inmuebles residenciales que deben recibir servicios públicos, SISBEN Sistema de Identificación de Potenciales Beneficiarios de Programas Sociales
SUI SistemaSistema Único de Información de Servicios Públicos Domiciliarios ,  SINAS Sistema de Inversiones en Agua Potable y saneamiento Básico, Iniciativas de Proyectos de Inversión  e Inventario de comunidades y sistema de agua y saneamientos en  zonas Rurales.SIG ARMENIA  Sistema de Información Geográfica del Municipio de Armenia, determinando los alcances según las plataformas y bases actuales.</t>
  </si>
  <si>
    <t>Sistemas  y Aplicativos  para la Planeación Territorial</t>
  </si>
  <si>
    <t xml:space="preserve">Mantener y consolidar la cultura de la Planeación institucional para optimizar la gestión de planificación estrategica municipal
</t>
  </si>
  <si>
    <t>2020630010072</t>
  </si>
  <si>
    <t>Formulación de política publica para el tratamiento de los asentamientos informales en el municipio de Armenia.</t>
  </si>
  <si>
    <t>2020630010068</t>
  </si>
  <si>
    <t>Documento de formulación de política pública</t>
  </si>
  <si>
    <t>RECURSOS PROPIOS</t>
  </si>
  <si>
    <t>JOSÉ MANUEL RÍOS MORALES</t>
  </si>
  <si>
    <t>DIEGO FERNANDO TOBON FIL</t>
  </si>
  <si>
    <t>DIRECTOR</t>
  </si>
  <si>
    <t>2. Implementación e institucionalización Cuadro de control y monitoreo PDM 2020-2023 (Rutinas de seguimiento)</t>
  </si>
  <si>
    <t xml:space="preserve">3. Constitución de Equipo de Enlaces y  Capacitaciones para la implementación del Cuadro de control y monitoreo PDM 2020-2023 </t>
  </si>
  <si>
    <t>8.Elaboración y Divulgación de Ficha Básica Muncipal 2020</t>
  </si>
  <si>
    <t xml:space="preserve">1. Servicios profesionales y de apoyo a la gestión para los procesos de actualización y seguimiento de las plataformas MGA Web, SUIFP, PPTO, SIRECI , Revisión de las diferentes solicitudes de viabilidad en relación a los proyectos radicados  y traslados presupuestales   </t>
  </si>
  <si>
    <t>1. Generacion de cartografia tematica del municipio de Armenia, de conformidad con el POT</t>
  </si>
  <si>
    <t>3. Socialiación y concertación del documento Plan de manejo ambiental arbolado urbano</t>
  </si>
  <si>
    <t>1. Identificar , recolectar y tabular la información de la población, viviendas, infraestructura, equipamientos, según metodologia del Ministerio de Vivienda Ciudad y Territorio</t>
  </si>
  <si>
    <t>2. Generar reporte al Ministerio de Vivienda Ciudad y Territorio para su respectiva validación.</t>
  </si>
  <si>
    <t xml:space="preserve">Diagnosticos, suelos de protección ambiental. </t>
  </si>
  <si>
    <t xml:space="preserve">1. Revisar los  estudio técnico de actualización de suelos de protección ambiental urbano contenido en el plano temático que hace parte del acuerdo 019 de 2009 Plan de Ordenamiento Territorial POT.(trabajo crq), presentados por los interesados. (Concertar con la autoridad ambiental la viabilidad de actualización de los suelos de protección ambiental)  </t>
  </si>
  <si>
    <t>2. Servicios profesionales y de apoyo a la gestión para la formulacion y presentacion de proyectos a entidades del orden departamental y nacional.</t>
  </si>
  <si>
    <t>3. Presentación y actualización de informes financieros del Municipio de Armenia,  capacitaciones MGA y Formulacion de Proyectos, seguimiento a planes de acción municipal.</t>
  </si>
  <si>
    <t>4. Adquisión e Implementación del aplicativo tecnológico para la unificación, funcionamiento, seguimiento y control del Banco de Programas y Proyectos de la Alcaldía Municipal con su respectivo equipo que permita el fortalecimiento y operatividad del sistema BPPIM.</t>
  </si>
  <si>
    <t xml:space="preserve">1.  implementación y  administración del  SUIT Sistema Unico de Información de Trámites, para la implementación de la Política de Racionalizaciín de Trámites </t>
  </si>
  <si>
    <t>Dar cumplimiento al Decreto 121 de 2017 "POR MEDIO DEL CUAL SE ESPECIALIZAN LAS INSPECCIONES DE POLICIA DE PRIMERA CATEGORIA URBANA,RURALES Y CORREGIDURIA DEL MUNICIPIO DE Armenia", y a la Ley 1801 de 2016
 "Por la cual se expide el Código Nacional de Seguridad y Convivencia Ciudadana"</t>
  </si>
  <si>
    <t>1.Diagnóstico del  estado de las mirocuencas urbanas( Recurso hírico, flora, fauna, componente social y de infraestructura)</t>
  </si>
  <si>
    <t xml:space="preserve">1.Consolidación de la guia de normas ambientales por sectores productivos de la ciudad </t>
  </si>
  <si>
    <t>2.Capacitaciones  enfocadas a las tematicas ambientales a comunidad y sectores productivos</t>
  </si>
  <si>
    <t>3. Generación del documento y sus correspondientes soportes cartograficos y catastrales de conformidad con la normatividad vigente en el tema.</t>
  </si>
  <si>
    <t>7. Entrega de archivo de toda la documentación del proceso, al archivo de gestión del Departamento Administrativo de Planeación Municipal de conformidad con la ley de archivo.</t>
  </si>
  <si>
    <t>1. Explorar, analizar y replantear los problemas urbanos que viene presentando el municipio con diferentes actores.</t>
  </si>
  <si>
    <t>2. Investigar para la adquisición del conocimiento en intervenciones de territorio y ciudad, mejoramiento integral, renovación urbana, espacio público, etc.; bajo una visión integral por el aporte multidisciplinar del grupo.</t>
  </si>
  <si>
    <t>3. Acompañamiento y asistencia tecnica a diferentes sectores de la ciudad, público, privado, académico y comunitario.</t>
  </si>
  <si>
    <t xml:space="preserve">4. Entrega de archivo de toda la documentación del proceso, al archivo de gestión del Departamento Administrativo de Planeación Municipal de conformidad con la ley de archivo.     </t>
  </si>
  <si>
    <t xml:space="preserve">2. Entrega de archivo de toda la documentación del proceso, al archivo de gestión del Departamento Administrativo de Planeación Municipal de conformidad con la ley de archivo. </t>
  </si>
  <si>
    <t>1.Actualizar el documento dosier de todas las comunas del municipio de Armenia de conformidad con las peticiones recibidas y la información del Acuerdo 019 de 2009 Plan de Ordenamiento Territorial, a fin de consolidar la documentación requerida para el expediente municipal</t>
  </si>
  <si>
    <t>2.Consolidar el archivo tecnico e historico, esto es, Documentos del Plan de Ordenamiento Territorial, estudios tecnicos y planos, regulación, información de seguimiento y la información historica de la planeación.</t>
  </si>
  <si>
    <t>3.Seguimiento y evaluación a la lectura operativa del Plan de Ordenamiento Territorial, a traves del desarrollo de la matriz 2 "Articulación de fines y medios"</t>
  </si>
  <si>
    <t xml:space="preserve">4.Realizar el analisis de articulación de acuerdo a  la matriz 2 "Articulación de fines y medios", como documento soporte de seguimiento y evaluación </t>
  </si>
  <si>
    <t>5.Seguimiento y evaluación a la ejecución del Plan de Ordenamiento Territorial a traves del desarrollo de la matriz de indicadores para objetivos</t>
  </si>
  <si>
    <t>6.Seguimiento y evaluación a la ejecución del Plan de Ordenamiento Territorial a traves del desarrollo de la matriz de indicadores para modelo de ocupación</t>
  </si>
  <si>
    <t>7.Seguimiento y evaluación a la ejecución del Plan de Ordenamiento Territorial a traves del desarrollo de la matriz de indicadores para proyectos</t>
  </si>
  <si>
    <t xml:space="preserve">8Realizar el analisis de cumplimiento de los objetivos y las metas  de acuerdo a las matrices de indicadores para objetivos, indicadores para modelo de ocupación e indicadores para proyectos , como documento soporte de seguimiento y evaluación </t>
  </si>
  <si>
    <t>1.Formulación Política Pública</t>
  </si>
  <si>
    <t>2. Encuestas nuevas realizadas y digitalizandas SISBEN</t>
  </si>
  <si>
    <t xml:space="preserve">3. Modificaciones atendidas, realizadas, digitalizadas a usuarios del SISBEN (Verificación de puntaje, retiros, inclusiones entre otras novedades) </t>
  </si>
  <si>
    <t xml:space="preserve">4. Informe mensula sobre las modificaciones atendidas, realizadas, digitalizadas a usuarios del SISBEN (Verificación de puntaje, retiros, inclusiones entre otras novedades) </t>
  </si>
  <si>
    <t>7. Actualizar la base de datos, realizar envió de las actualizaciones y de la base de datos Municipal Bruta al Departamento Nacional de Planeación DNP.</t>
  </si>
  <si>
    <t>8. Gestión a reclamaciones de Estratificación Socioeconómica (visitas, validación del Comité Permanente de Estratificación, actualización de base)</t>
  </si>
  <si>
    <t>9. Actualización e implementación de la estratificación Socioeconomica Urbana. (Se hace a obras o nuevos proyectos) a traves de resoluciones</t>
  </si>
  <si>
    <t>10. Implementación nueva metodologia de estratificación Socioeconomica Urbana y rural</t>
  </si>
  <si>
    <t xml:space="preserve">11. Divulgación e Implemenatación nueva metodologia de estratificación socioeconómica. </t>
  </si>
  <si>
    <t xml:space="preserve">12. Expedición de Certificados de Estrato Socioeconomica del municipio de Armenia </t>
  </si>
  <si>
    <t xml:space="preserve">13. Actualización permannte de la base de datos estratificación socioeconomica según novedades (reclamaciones, actualización, nuevos proyectos) </t>
  </si>
  <si>
    <t>14. Apoyo logistico y administrativo al Comite Permanente de Estratificación Socioeconómica según proceso (sesiones de comites, elección de representantes de la comuidad urbana y rura) según la normativa vigente.</t>
  </si>
  <si>
    <t>1.Estudios para planeación y formulación de política pública</t>
  </si>
  <si>
    <t>9. Realizar el seguimiento y evaluación de lo propuesto en los planos, en las normas generales y complementarias del POT en lo relativo al componente urbano.</t>
  </si>
  <si>
    <t>10. Seguimiento y evaluación de la inclusión de las variables de población en el ordenamiento territorial municipal.</t>
  </si>
  <si>
    <t xml:space="preserve">11. Entrega de archivo de toda la documentación del proceso, al archivo de gestión del Departamento Administrativo de Planeación Municipal de conformidad con la ley de archivo. </t>
  </si>
  <si>
    <t>Formular la Politica pública de bienestar animal</t>
  </si>
  <si>
    <t>Realizar el inventario de asentamientos dando cumplimiento a lo establcido conforme a las obligaciones establecidas en la Ley 9 de 1989 y la Ley 2 de 1991 en el artículo 218 de la Ley 1450 de 2011, el cual establece realizar el inventario</t>
  </si>
  <si>
    <t xml:space="preserve">Conceptos técnicos y servicio de inventarios de áreas protegidas </t>
  </si>
  <si>
    <t>2. Administración del producto vegetal correspondiente al Vivero forestal Municipal</t>
  </si>
  <si>
    <t xml:space="preserve">Unidades de Planificación Rural UPR </t>
  </si>
  <si>
    <t>2020630010049</t>
  </si>
  <si>
    <t>101.01.2.3.32.3206.0900.053.3206014.001</t>
  </si>
  <si>
    <t>101.01.2.3.32.3201.0900.048.3201004.001</t>
  </si>
  <si>
    <t>101.01.2.3.40.4002.1400.067.4002015.001</t>
  </si>
  <si>
    <t>101.01.2.3.40.4002.1400.073.4002015.001</t>
  </si>
  <si>
    <t>101.01.2.3.40.4002.1400.071.4002016.001</t>
  </si>
  <si>
    <t xml:space="preserve">2.Elaboración  Plan de Manejo Ambiental de los predios adquiridos </t>
  </si>
  <si>
    <t>3.Tabulación, caracterización de la información y sistematización</t>
  </si>
  <si>
    <t>4.Formulación de la estrategia para la mitigación de fuentes contaminantes</t>
  </si>
  <si>
    <t>1. Identificación de areas  para incluir en el SIMAP</t>
  </si>
  <si>
    <t>2.Visitas técnicas con conceptos sugeridos para aplicación de exoneración impuesto predial por conservación</t>
  </si>
  <si>
    <t xml:space="preserve">Desarrollo urbano y territorial controlado ( planificación del espacio público, control físico y monitoreo a los procesos constructivos,
zonas de protección ambiental y áreas protegidas)
</t>
  </si>
  <si>
    <t>Estrategias formuladas he implementadas de aprovechamiento de residuos</t>
  </si>
  <si>
    <t>Manual de espacio publico (Documentos de lineamientos tecnicos Elaborado)</t>
  </si>
  <si>
    <t>Manual de arborización urbana (Documentos de lineamientos tecnicos Elaborado)</t>
  </si>
  <si>
    <t>Manual de tratamiento, recepción y manejo de áreas de cesión. (Elaborado)</t>
  </si>
  <si>
    <t>Manual de edificaciones sostenibles. (Documentos de lineamientos tecnicos Elaborado)</t>
  </si>
  <si>
    <t>2.  implementación y  adminsitración del  Aplicativo GESTION WEB del DNP</t>
  </si>
  <si>
    <t>3.  implementación y  adminsitración del  Aplicativo SIEE Sistema de Información sobre la evaluación de la eficacia del DNP (Rutinas de reprogramación y reportes)</t>
  </si>
  <si>
    <t>4. cumplimiento de acciones para la implementación del  Modelo de Planeación y Gestión MIPG  (Sectretaría Tecnica de los Comités Institucional y Municipal de Gestión y Desempeño, Capacitaciones, Cumplimiento de Politicas de Gestión a cargo del DAPM)</t>
  </si>
  <si>
    <t>5.  implementación y  adminsitración del  Aplicativo FURAG de DAFP (Compilación de Información, Migración  Capacitaciones, Rutinas de reportes)</t>
  </si>
  <si>
    <t>6. implementación y  administración del  Aplicativos de Organismos de Vigilancia y Control como: SIA CONTRALORIAS, SIA OBSERVA, SECOP II, VIGILANCIA SUPERIOR (Capacitaciones, Compilación de Información, Migración, Rutinas de reportes)</t>
  </si>
  <si>
    <t>7.  implementación y  adminsitración de la PAGINA WEB planeación@armenia.gov.co  (Cumplimiento de la 1174 de 2011 y 1712 de 2014, Compilación de Información, Migración  Rutinas de reportes)</t>
  </si>
  <si>
    <t>1.  Porcentaje de actividades relacionadas con la producción de plantulas para los distintos proyectos.</t>
  </si>
  <si>
    <t>1. Identificación y georeferenciación en campo de fuentes de contaminación (vertimientos).</t>
  </si>
  <si>
    <t>1.Numero de Estrategias formuladas he implementadas de aprovechamiento de residuos</t>
  </si>
  <si>
    <t>2.Actualización del documento PGIRS de la ciudad de Armenia ( Matriz fiananciera y proyectos por programa)</t>
  </si>
  <si>
    <t>2. Socialización de la guía de normas ambientales entre los distintos  sectores.</t>
  </si>
  <si>
    <t>1. Sensibilización a las diferentes comunidades de la ciudad de Armenia en el componente de mineria y agroecología limpia</t>
  </si>
  <si>
    <t xml:space="preserve">1. Diseñar e implementar una guía técnica de buenas practicas ambientales y menores impactos entorno a la minería, con un modelo pedagógico para la educación y la cultura ambiental, para la sociedad civil del municipio de Armenia. </t>
  </si>
  <si>
    <t>2. Inspección técnica de verificación de normas urbanisticas de control.</t>
  </si>
  <si>
    <t>1.Porcentaje de fichas normativas POT y plan vial actualizado.</t>
  </si>
  <si>
    <t>6.Cumplimiento acciones judiciales (Ciudad Dorada)</t>
  </si>
  <si>
    <t>6. Utilización de los instrumentos de focalización y verificación del municipio de Armenia mediante bases de datos a Dependencias cada vez que lo requieran.</t>
  </si>
  <si>
    <t>15: Recopilación de lineamientos y requisitos de las entidades del orden municipal, departamental y nacional que sean fuente de financiación de proyectos de inversión en concordancia al Plan de Desarrollo del Municipio de Armenia 2020-2023 “ARMENIA PA TODOS”</t>
  </si>
  <si>
    <t xml:space="preserve">16: Realizar la formulación de proyectos en la metodología MGA WEB para presentarlos a las entidades del orden municipal, departamental y nacional para la gestión de recursos de inversión.
</t>
  </si>
  <si>
    <t xml:space="preserve">1. Porcentaje de aplicación e implementación del Cuadro de control y monitoreo PDM 2020-2023 para el Seguimiento, monitoreo y evaluación del Plan de Desarrollo Municipal </t>
  </si>
  <si>
    <t>4. Elaboración y actualización del POAI Plan Operativo Anual de Inversiones según cronograma normativo</t>
  </si>
  <si>
    <t>6. Porcentaje de aplicación del instrumento de ejecución del PDM 2020-2023 Plan Indicativo Cuatrienal   (Proceso de verificación en el ejercicio de programación y reprogramación del SIEE)</t>
  </si>
  <si>
    <t>7. Porcentaje de aplicación del instrumento Estratégico de ejecución del PDM 2020-2023 Plan Anticorrupción y de Atención al Ciudadano Anual    (Proceso de Actualzición, Seguimientos )</t>
  </si>
  <si>
    <r>
      <t>Porcentaje de implementación y  adminsitración de los Sistemas  y Aplicativos  para la Planeación  Estrategica vigentes en cumplimiento de la normativa Nacional y local vigentes como:</t>
    </r>
    <r>
      <rPr>
        <b/>
        <sz val="10"/>
        <rFont val="Arial"/>
        <family val="2"/>
      </rPr>
      <t xml:space="preserve"> SUIT</t>
    </r>
    <r>
      <rPr>
        <sz val="10"/>
        <rFont val="Arial"/>
        <family val="2"/>
      </rPr>
      <t xml:space="preserve"> Sistema Unico de Información de Trámites, Aplicativo</t>
    </r>
    <r>
      <rPr>
        <b/>
        <sz val="10"/>
        <rFont val="Arial"/>
        <family val="2"/>
      </rPr>
      <t xml:space="preserve"> GESTION WEB del DNP</t>
    </r>
    <r>
      <rPr>
        <sz val="10"/>
        <rFont val="Arial"/>
        <family val="2"/>
      </rPr>
      <t>, A</t>
    </r>
    <r>
      <rPr>
        <b/>
        <sz val="10"/>
        <rFont val="Arial"/>
        <family val="2"/>
      </rPr>
      <t>plicativo  SIA-CONTRALORIAS</t>
    </r>
    <r>
      <rPr>
        <sz val="10"/>
        <rFont val="Arial"/>
        <family val="2"/>
      </rPr>
      <t xml:space="preserve">  de  la Contraloria Municipal, el MIPG Modelo Integrado de Planeaación y Gestión,  </t>
    </r>
    <r>
      <rPr>
        <b/>
        <sz val="10"/>
        <rFont val="Arial"/>
        <family val="2"/>
      </rPr>
      <t>FURAG</t>
    </r>
    <r>
      <rPr>
        <sz val="10"/>
        <rFont val="Arial"/>
        <family val="2"/>
      </rPr>
      <t xml:space="preserve"> reporte  Formulario Único Reporte de Avances de la Gestión,   VIGILANCIA SUPERIOR de la Procuraduría General de la Nación y Administración de la  PAGINA WEB planeacion@armenia.gov.co</t>
    </r>
  </si>
  <si>
    <r>
      <t>1.  asistencia técnica  y</t>
    </r>
    <r>
      <rPr>
        <b/>
        <sz val="11"/>
        <rFont val="Calibri"/>
        <family val="2"/>
      </rPr>
      <t xml:space="preserve"> metodologica </t>
    </r>
    <r>
      <rPr>
        <sz val="11"/>
        <rFont val="Calibri"/>
        <family val="2"/>
      </rPr>
      <t>al Consejo Territorial de Planeación como instancia de Participación según la normativa Nacional y Local vigentes.</t>
    </r>
  </si>
  <si>
    <r>
      <t xml:space="preserve">2.  asistencia técnica  y </t>
    </r>
    <r>
      <rPr>
        <b/>
        <sz val="11"/>
        <rFont val="Calibri"/>
        <family val="2"/>
      </rPr>
      <t>metodologica</t>
    </r>
    <r>
      <rPr>
        <sz val="11"/>
        <rFont val="Calibri"/>
        <family val="2"/>
      </rPr>
      <t xml:space="preserve"> al Consejo Municipal de Participación Ciudadana como instancia de Participación según la normativa Nacional y Local vigentes.</t>
    </r>
  </si>
  <si>
    <r>
      <t xml:space="preserve">3.  asistencia técnica  y </t>
    </r>
    <r>
      <rPr>
        <b/>
        <sz val="11"/>
        <rFont val="Calibri"/>
        <family val="2"/>
      </rPr>
      <t>metodologica</t>
    </r>
    <r>
      <rPr>
        <sz val="11"/>
        <rFont val="Calibri"/>
        <family val="2"/>
      </rPr>
      <t xml:space="preserve"> al Comité de Desarrollo Local Particiaptivo CODELPA Directivo y Opertaivo  en aspectos metodológicos como mecanismo  de Participación según la normativa  Local vigente.</t>
    </r>
  </si>
  <si>
    <r>
      <t xml:space="preserve">4. Apoyo </t>
    </r>
    <r>
      <rPr>
        <b/>
        <sz val="11"/>
        <rFont val="Calibri"/>
        <family val="2"/>
      </rPr>
      <t>metodológico</t>
    </r>
    <r>
      <rPr>
        <sz val="11"/>
        <rFont val="Calibri"/>
        <family val="2"/>
      </rPr>
      <t xml:space="preserve"> para la construcción de Herramientas de Planificación Comunitaria según metodología vigente.</t>
    </r>
  </si>
  <si>
    <t>9.Intervención y Toma de Posesión de la actividad de construcción y enajenación de inmuebles destinados a vivienda, conforme a los procedimientos y normatividad vigente</t>
  </si>
  <si>
    <t xml:space="preserve">8.  Análisis técnico y jurídico de las Fichas normativas adoptadas en el POT.  </t>
  </si>
  <si>
    <t xml:space="preserve">SEGUIMIENTO AL PLAN DE ACCIÓN                         </t>
  </si>
  <si>
    <t>Código: D-DP-PDE-060</t>
  </si>
  <si>
    <t>Fecha: 29/12/2020</t>
  </si>
  <si>
    <t>Versión: 006</t>
  </si>
  <si>
    <t xml:space="preserve">Unidad Ejecutora: </t>
  </si>
  <si>
    <t>SECRETARÍA O  ENTIDAD RESPONSABLE: 3.5 DEPARTAMENTO ADMINISTRATIVO DE PLANEACION</t>
  </si>
  <si>
    <t>VIGENCIA AÑO: 2021</t>
  </si>
  <si>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</si>
  <si>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</si>
  <si>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</si>
  <si>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</si>
  <si>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</si>
  <si>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</si>
  <si>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</si>
  <si>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</si>
  <si>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</si>
  <si>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</si>
  <si>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</si>
  <si>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</si>
  <si>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</si>
  <si>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Semáforo Alcance de la Meta:
Verde Oscuro (  100%) 
Amarillo (75%) 
Rojo (50% )</t>
  </si>
  <si>
    <t>Semáforo Ejecución Presupuestal:
Verde Oscuro (  100%) 
Amarillo (75%) 
Rojo (50% )</t>
  </si>
  <si>
    <t>101.01.2.3.32.3201.0900.052.3201002.001
101.01.2.3.32.3201.0900.052.3201002.034                    101.01.2.3.32.3201.0900.052.3201002.210</t>
  </si>
  <si>
    <t xml:space="preserve">RECURSOS PROPIOS
SGP PROPOSITO GENERAL LIBRE INVERSION                         RECURSOS DEL BALANCE PROPIOS
</t>
  </si>
  <si>
    <t>RECURSOS PROPIOS
SGP PROPOSITO GENERAL LIBRE INVERSION
APROVECHAMIENTO ECONOMICO DE ESPACIO PUBLICO
APROVECHAMIENTO URBANISTICO ADICIONAL               RECURSOS DEL BALANCE PROPIOS</t>
  </si>
  <si>
    <t>101.01.2.3.40.4002.1400.055.4002018.001
101.01.2.3.40.4002.1400.055.4002018.034
101.01.2.3.40.4002.1400.055.4002018.197
101.01.2.3.40.4002.1400.055.4002018.199                               101.01.2.3.40.4002.1400.055.4002018.210</t>
  </si>
  <si>
    <t>101.01.2.3.40.4002.1400.054.4002015.001                   101.01.2.3.40.4002.1400.054.4002015.210</t>
  </si>
  <si>
    <t>RECURSOS PROPIOS                                                                     RECURSOS DEL BALANCE PROPIOS</t>
  </si>
  <si>
    <t xml:space="preserve">101.01.2.3.40.4002.1400.070.4002016.001   101.01.2.3.40.4002.1400.070.4002016.034                      101.01.2.3.40.4002.1400.070.4002016.210             101.01.2.3.40.4002.1400.070.4002016.506                 101.01.2.3.40.4002.1400.070.4002016.677 </t>
  </si>
  <si>
    <t>RECURSOS PROPIOS                                                                                 SGP PROPOSITO GENERAL LIBRE INVERSIÓN                     RECURSOS DEL BALANCE PROPIOS                                                 REC.BCE. Aprovechamiento Económico de Espacio Público           REC.BCE. APROVECHAMIENTO URBANISTICO ADICIONAL</t>
  </si>
  <si>
    <t xml:space="preserve">101.01.2.3.32.3204.0900.049.3204001.001                       101.01.2.3.32.3204.0900.049.3204001.210   </t>
  </si>
  <si>
    <t>101.01.2.3.45.4599.1000.046.4599023.001
101.01.2.3.45.4599.1000.046.4599023.034                                     101.01.2.3.45.4599.1000.046.4599023.210</t>
  </si>
  <si>
    <t>101.01.2.3.45.4599.1000.047.4599023.001
101.01.2.3.45.4599.1000.047.4599023.034                                101.01.2.3.45.4599.1000.047.4599023.210</t>
  </si>
  <si>
    <t xml:space="preserve">
RECURSOS PROPIOS
SGP PROPOSITO GENERAL LIBRE INVERSION                           RECURSOS DEL BALANCE PROPIOS</t>
  </si>
  <si>
    <t>101.01.2.3.45.4599.1000.050.4599023.001
101.01.2.3.45.4599.1000.050.4599023.034                         101.01.2.3.45.4599.1000.050.4599023.210                            101.01.2.3.45.4599.1000.050.4599023.306                    101.01.2.3.45.4599.1000.050.4599023.938
101.01.2.3.45.4599.1000.050.4599023.306</t>
  </si>
  <si>
    <t>RECURSOS PROPIOS
SGP PROPOSITO GENERAL LIBRE INVERSION                      RECURSOS DEL BALANCE PROPIOS                             CONTRIBUCIÓN ESTRATIFICACIÓN                                       REC.BCE CONCURSO ECONÓMICO ESTRATIFICACIÓN
CONTRIBUCION ESTRATIFICACION</t>
  </si>
  <si>
    <t xml:space="preserve">101.01.2.3.40.4002.1400.072.4002018.001                        101.01.2.3.40.4002.1400.072.4002018.210  </t>
  </si>
  <si>
    <t>101.01.2.3.39.3901.1000.068.3901002.034                                  101.01.2.3.39.3901.1000.068.3901002.210</t>
  </si>
  <si>
    <t>SGP PROPISITO GENERAL LIBRE INVERSIÓN                            RECURSOS DEL BALANCE PROPIOS</t>
  </si>
  <si>
    <t>101.01.2.3.32.3202.0900.066.3202006.034                       101.01.2.3.32.3202.0900.066.3202006.210                    101.01.2.3.32.3202.0900.066.3202006.506                     101.01.2.3.32.3202.0900.066.3202006.581</t>
  </si>
  <si>
    <t xml:space="preserve">SGP PROPOSITO GENERAL LIBRE INVERSION                       RECURSOS DEL BALANCE PRIPIOS                                              REC.BCE. Aprovechamiento Económico de Espacio Público      REC.BCE.SGP PROPOSITO GENERAL    </t>
  </si>
  <si>
    <t>101.01.2.3.32.3202.0900.066.3202008.001                            101.01.2.3.32.3202.0900.066.3202008.210</t>
  </si>
  <si>
    <t xml:space="preserve">101.01.2.3.32.3202.0900.066.3202037.001                             </t>
  </si>
  <si>
    <t>101.01.2.3.32.3206.0900.053.3206002.034                        101.01.2.3.32.3206.0900.053.3206002.210                           101.01.2.3.32.3206.0900.053.3206002.581</t>
  </si>
  <si>
    <t xml:space="preserve">SGP PROPOSITO GENERAL LIBRE INVERSION                         RECURSOS DEL BALANCE PROPIOS                                            REC.BCE. SGP PROPOSITO GENERAL
</t>
  </si>
  <si>
    <t>101.01.2.3.32.3203.0900.056.3203002.001                                  101.01.2.3.32.3203.0900.056.3203002.210                      101.01.2.3.32.3203.0900.056.3203002.922</t>
  </si>
  <si>
    <t>RECURSOS PROPIOS                                                                     RECURSOS DEL BALANCE PROPIOS                                           REC.BCE.LEY DE TIERRAS</t>
  </si>
  <si>
    <t>101.01.2.3.32.3201.0900.051.3201002.034                                 101.01.2.3.32.3201.0900.051.3201002.210</t>
  </si>
  <si>
    <t>SGP PROPOSITO GENERAL LIBRE INVERSION                           RECURSOS DEL BALANCE PROPIOS</t>
  </si>
  <si>
    <t>101.01.2.3.32.3208.0900.048.3208009.001                              101.01.2.3.32.3208.0900.048.3208009.034                             101.01.2.3.32.3208.0900.048.3208009.210</t>
  </si>
  <si>
    <t xml:space="preserve">RECURSOS PROPIOS                                                                                 SGP PROPOSITO GENERAL LIBRE INVERSION                                RECURSOS DEL BALANCE PROPIOS
</t>
  </si>
  <si>
    <t>101.01.2.3.32.3208.0900.094.3208007.034                              101.01.2.3.32.3208.0900.094.3208007.210</t>
  </si>
  <si>
    <t>101.2.3.32.3208.900.094.3208008.034</t>
  </si>
  <si>
    <t>SGP PROPOSITO GENERAL LIBRE INVERSIÓN</t>
  </si>
  <si>
    <t>101.01.2.3.32.3205.0900.065.3205001.001                                  101.01.2.3.32.3205.0900.065.3205001.210</t>
  </si>
  <si>
    <t xml:space="preserve">RECURSOS PROPIOS                                                                     RECURSOS DEL BALANCE PROPIOS                                     </t>
  </si>
  <si>
    <t>Cuenca Alta Rio Quindío</t>
  </si>
  <si>
    <t>Área urbana y rural del Municipio</t>
  </si>
  <si>
    <t xml:space="preserve">Sector Mall la Avenida </t>
  </si>
  <si>
    <t>Área urbana del Municipio</t>
  </si>
  <si>
    <t xml:space="preserve">308463 Habitantes de la Ciudad de Armenia </t>
  </si>
  <si>
    <t>Área Urbana del Municipio</t>
  </si>
  <si>
    <t>8950 Personas</t>
  </si>
  <si>
    <t>comuna 5</t>
  </si>
  <si>
    <t>Área Urbana y rural del Municipio</t>
  </si>
  <si>
    <t xml:space="preserve">Vívero forestal Municipal </t>
  </si>
  <si>
    <t xml:space="preserve">Área urbana y rural del Municipio </t>
  </si>
  <si>
    <t>60 Personas Sector Comercio</t>
  </si>
  <si>
    <t>Comunidad Educativa Área urbana y rural del Municipio</t>
  </si>
  <si>
    <t xml:space="preserve">Centro Administrativo Muncipal </t>
  </si>
  <si>
    <t xml:space="preserve">Sector de la Construcción </t>
  </si>
  <si>
    <t>Comuna 10 y 8</t>
  </si>
  <si>
    <t xml:space="preserve">30.000 habitantes </t>
  </si>
  <si>
    <t>Comuna 10 y 7</t>
  </si>
  <si>
    <t>Sector comercial</t>
  </si>
  <si>
    <t>Municipio de Armeia</t>
  </si>
  <si>
    <t>Sector Comercial muncipio de armenia</t>
  </si>
  <si>
    <t xml:space="preserve">Area urbana, </t>
  </si>
  <si>
    <t>Área urbana  del Municipio</t>
  </si>
  <si>
    <t>Centro Administrativo Municipal</t>
  </si>
  <si>
    <t>-</t>
  </si>
  <si>
    <t>Sector Rural Municipio de Armenia</t>
  </si>
  <si>
    <t>Sector Urano del Municipio</t>
  </si>
  <si>
    <t>10.000 Habitantes</t>
  </si>
  <si>
    <t xml:space="preserve">6701 Habitantes de la Ciudad de Armenia </t>
  </si>
  <si>
    <t>18122 Sisbenizados de la ciudad de armenia</t>
  </si>
  <si>
    <t>Área urbana y rural del Municipio - Centro Administrativo Municipal</t>
  </si>
  <si>
    <t>191676 Personas Sisbenizadas en metodología anterior</t>
  </si>
  <si>
    <t xml:space="preserve">18122 Personas sisbenizadas de la ciudad de armenia </t>
  </si>
  <si>
    <t>Comunas de Armenia y Sector Rural</t>
  </si>
  <si>
    <t>Centro Administrativo Municipal - Área urbana y rural del Municipio</t>
  </si>
  <si>
    <t>389 estudiatnes</t>
  </si>
  <si>
    <t>g</t>
  </si>
  <si>
    <t>5. Porcentaje de aplicación del instrumento de ejecución del PDM 2020-2023 Plan de Acción Anual  (Consolidación del Seguimiento Semestral)</t>
  </si>
  <si>
    <t>Area urbana del Municipio</t>
  </si>
  <si>
    <t>Periodo de corte:   A SEPTIEMBRE 30 DE 2021</t>
  </si>
  <si>
    <t>Centro Administrativo Municipal CAM</t>
  </si>
  <si>
    <r>
      <t>1.  asistencia técnica  y</t>
    </r>
    <r>
      <rPr>
        <b/>
        <sz val="9"/>
        <rFont val="Calibri"/>
        <family val="2"/>
      </rPr>
      <t xml:space="preserve"> metodologica </t>
    </r>
    <r>
      <rPr>
        <sz val="9"/>
        <rFont val="Calibri"/>
        <family val="2"/>
      </rPr>
      <t>al Consejo Territorial de Planeación como instancia de Participación según la normativa Nacional y Local vigentes.</t>
    </r>
  </si>
  <si>
    <r>
      <t xml:space="preserve">2.  asistencia técnica  y </t>
    </r>
    <r>
      <rPr>
        <b/>
        <sz val="9"/>
        <rFont val="Calibri"/>
        <family val="2"/>
      </rPr>
      <t>metodologica</t>
    </r>
    <r>
      <rPr>
        <sz val="9"/>
        <rFont val="Calibri"/>
        <family val="2"/>
      </rPr>
      <t xml:space="preserve"> al Consejo Municipal de Participación Ciudadana como instancia de Participación según la normativa Nacional y Local vigentes.</t>
    </r>
  </si>
  <si>
    <r>
      <t xml:space="preserve">3.  asistencia técnica  y </t>
    </r>
    <r>
      <rPr>
        <b/>
        <sz val="9"/>
        <rFont val="Calibri"/>
        <family val="2"/>
      </rPr>
      <t>metodologica</t>
    </r>
    <r>
      <rPr>
        <sz val="9"/>
        <rFont val="Calibri"/>
        <family val="2"/>
      </rPr>
      <t xml:space="preserve"> al Comité de Desarrollo Local Particiaptivo CODELPA Directivo y Opertaivo  en aspectos metodológicos como mecanismo  de Participación según la normativa  Local vigente.</t>
    </r>
  </si>
  <si>
    <r>
      <t xml:space="preserve">4. Apoyo </t>
    </r>
    <r>
      <rPr>
        <b/>
        <sz val="9"/>
        <rFont val="Calibri"/>
        <family val="2"/>
      </rPr>
      <t>metodológico</t>
    </r>
    <r>
      <rPr>
        <sz val="9"/>
        <rFont val="Calibri"/>
        <family val="2"/>
      </rPr>
      <t xml:space="preserve"> para la construcción de Herramientas de Planificación Comunitaria según metodología vigente.</t>
    </r>
  </si>
  <si>
    <t>No de Actividades</t>
  </si>
  <si>
    <t xml:space="preserve">Promedio de avance </t>
  </si>
  <si>
    <t>RECURSOS ASIGNADOS</t>
  </si>
  <si>
    <t xml:space="preserve">RECURSOS EJECUTADOS </t>
  </si>
  <si>
    <t>PROMEDIO RECURSOS</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</si>
</sst>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quot;$&quot;* #,##0_);_(&quot;$&quot;* \(#,##0\);_(&quot;$&quot;* &quot;-&quot;??_);_(@_)"/>
    <numFmt numFmtId="179" formatCode="_(* #,##0_);_(* \(#,##0\);_(* &quot;-&quot;??_);_(@_)"/>
    <numFmt numFmtId="180" formatCode="&quot;$&quot;\ #,##0"/>
    <numFmt numFmtId="181" formatCode="&quot;$&quot;\ #,##0.00"/>
    <numFmt numFmtId="182" formatCode="[$-240A]dddd\,\ d\ &quot;de&quot;\ mmmm\ &quot;de&quot;\ yyyy"/>
    <numFmt numFmtId="183" formatCode="[$-240A]h:mm:ss\ AM/PM"/>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0.0"/>
  </numFmts>
  <fonts count="49">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1"/>
      <name val="Arial"/>
      <family val="2"/>
    </font>
    <font>
      <sz val="11"/>
      <name val="Arial"/>
      <family val="2"/>
    </font>
    <font>
      <sz val="9"/>
      <name val="Tahoma"/>
      <family val="2"/>
    </font>
    <font>
      <b/>
      <sz val="9"/>
      <name val="Tahoma"/>
      <family val="2"/>
    </font>
    <font>
      <b/>
      <sz val="12"/>
      <name val="Arial"/>
      <family val="2"/>
    </font>
    <font>
      <b/>
      <sz val="11"/>
      <name val="Calibri"/>
      <family val="2"/>
    </font>
    <font>
      <sz val="11"/>
      <name val="Calibri"/>
      <family val="2"/>
    </font>
    <font>
      <b/>
      <sz val="14"/>
      <name val="Arial"/>
      <family val="2"/>
    </font>
    <font>
      <b/>
      <sz val="16"/>
      <name val="Arial"/>
      <family val="2"/>
    </font>
    <font>
      <sz val="8"/>
      <name val="Arial"/>
      <family val="2"/>
    </font>
    <font>
      <b/>
      <sz val="9"/>
      <name val="Arial"/>
      <family val="2"/>
    </font>
    <font>
      <sz val="9"/>
      <name val="Arial"/>
      <family val="2"/>
    </font>
    <font>
      <b/>
      <sz val="9"/>
      <name val="Calibri"/>
      <family val="2"/>
    </font>
    <font>
      <sz val="9"/>
      <name val="Calibri"/>
      <family val="2"/>
    </font>
    <font>
      <u val="single"/>
      <sz val="10"/>
      <color indexed="12"/>
      <name val="Arial"/>
      <family val="2"/>
    </font>
    <font>
      <u val="single"/>
      <sz val="10"/>
      <color indexed="20"/>
      <name val="Arial"/>
      <family val="2"/>
    </font>
    <font>
      <sz val="11"/>
      <color indexed="8"/>
      <name val="Arial"/>
      <family val="2"/>
    </font>
    <font>
      <sz val="10"/>
      <color indexed="8"/>
      <name val="Arial"/>
      <family val="2"/>
    </font>
    <font>
      <sz val="9"/>
      <color indexed="8"/>
      <name val="Arial"/>
      <family val="2"/>
    </font>
    <font>
      <b/>
      <sz val="10"/>
      <color indexed="8"/>
      <name val="Arial"/>
      <family val="2"/>
    </font>
    <font>
      <sz val="8"/>
      <name val="Segoe UI"/>
      <family val="2"/>
    </font>
    <font>
      <u val="single"/>
      <sz val="10"/>
      <color theme="10"/>
      <name val="Arial"/>
      <family val="2"/>
    </font>
    <font>
      <u val="single"/>
      <sz val="10"/>
      <color theme="11"/>
      <name val="Arial"/>
      <family val="2"/>
    </font>
    <font>
      <b/>
      <sz val="11"/>
      <color theme="0"/>
      <name val="Calibri"/>
      <family val="2"/>
    </font>
    <font>
      <sz val="11"/>
      <color theme="1"/>
      <name val="Calibri"/>
      <family val="2"/>
    </font>
    <font>
      <sz val="11"/>
      <color rgb="FF000000"/>
      <name val="Arial"/>
      <family val="2"/>
    </font>
    <font>
      <sz val="10"/>
      <color theme="1"/>
      <name val="Arial"/>
      <family val="2"/>
    </font>
    <font>
      <sz val="9"/>
      <color rgb="FF000000"/>
      <name val="Arial"/>
      <family val="2"/>
    </font>
    <font>
      <b/>
      <sz val="10"/>
      <color theme="1"/>
      <name val="Arial"/>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522B57"/>
        <bgColor indexed="64"/>
      </patternFill>
    </fill>
    <fill>
      <patternFill patternType="solid">
        <fgColor indexed="43"/>
        <bgColor indexed="64"/>
      </patternFill>
    </fill>
    <fill>
      <patternFill patternType="solid">
        <fgColor indexed="26"/>
        <bgColor indexed="64"/>
      </patternFill>
    </fill>
    <fill>
      <patternFill patternType="solid">
        <fgColor rgb="FFFFFFFF"/>
        <bgColor indexed="64"/>
      </patternFill>
    </fill>
    <fill>
      <patternFill patternType="solid">
        <fgColor theme="0"/>
        <bgColor indexed="64"/>
      </patternFill>
    </fill>
    <fill>
      <patternFill patternType="solid">
        <fgColor rgb="FFFFFF99"/>
        <bgColor indexed="64"/>
      </patternFill>
    </fill>
    <fill>
      <patternFill patternType="solid">
        <fgColor theme="8" tint="0.5999900102615356"/>
        <bgColor indexed="64"/>
      </patternFill>
    </fill>
    <fill>
      <patternFill patternType="solid">
        <fgColor theme="0" tint="-0.1499900072813034"/>
        <bgColor indexed="64"/>
      </patternFill>
    </fill>
    <fill>
      <patternFill patternType="solid">
        <fgColor rgb="FFFFFF00"/>
        <bgColor indexed="64"/>
      </patternFill>
    </fill>
    <fill>
      <patternFill patternType="solid">
        <fgColor theme="6" tint="0.5999900102615356"/>
        <bgColor indexed="64"/>
      </patternFill>
    </fill>
    <fill>
      <patternFill patternType="solid">
        <fgColor rgb="FF92D050"/>
        <bgColor indexed="64"/>
      </patternFill>
    </fill>
    <fill>
      <patternFill patternType="solid">
        <fgColor rgb="FFFFE69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medium">
        <color rgb="FFECECEC"/>
      </left>
      <right style="medium">
        <color rgb="FFECECEC"/>
      </right>
      <top style="medium">
        <color rgb="FFECECEC"/>
      </top>
      <bottom style="medium">
        <color rgb="FFECECEC"/>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medium"/>
      <bottom style="thin"/>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style="thin"/>
      <right/>
      <top/>
      <botto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
      <left style="medium"/>
      <right style="medium"/>
      <top style="medium"/>
      <bottom style="medium"/>
    </border>
    <border>
      <left style="medium"/>
      <right style="medium"/>
      <top style="medium"/>
      <bottom/>
    </border>
    <border>
      <left>
        <color indexed="63"/>
      </left>
      <right>
        <color indexed="63"/>
      </right>
      <top style="medium"/>
      <bottom>
        <color indexed="63"/>
      </bottom>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style="medium"/>
    </border>
    <border>
      <left style="thin"/>
      <right style="medium"/>
      <top style="medium"/>
      <bottom style="thin"/>
    </border>
    <border>
      <left style="medium"/>
      <right style="medium"/>
      <top>
        <color indexed="63"/>
      </top>
      <bottom style="medium"/>
    </border>
    <border>
      <left style="medium"/>
      <right style="thin"/>
      <top style="medium"/>
      <bottom style="thin"/>
    </border>
    <border>
      <left style="medium"/>
      <right style="thin"/>
      <top style="thin"/>
      <bottom style="medium"/>
    </border>
    <border>
      <left style="thin"/>
      <right style="medium"/>
      <top>
        <color indexed="63"/>
      </top>
      <bottom>
        <color indexed="63"/>
      </bottom>
    </border>
    <border>
      <left style="thin"/>
      <right style="medium"/>
      <top>
        <color indexed="63"/>
      </top>
      <bottom style="thin"/>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style="medium"/>
      <right style="medium"/>
      <top>
        <color indexed="63"/>
      </top>
      <bottom>
        <color indexed="63"/>
      </bottom>
    </border>
    <border>
      <left style="thin"/>
      <right style="thin"/>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9" fillId="3" borderId="0" applyNumberFormat="0" applyBorder="0" applyAlignment="0" applyProtection="0"/>
    <xf numFmtId="0" fontId="42" fillId="22" borderId="5">
      <alignment horizontal="center" vertical="center" wrapText="1"/>
      <protection/>
    </xf>
    <xf numFmtId="43" fontId="0" fillId="0" borderId="0" applyFill="0" applyBorder="0" applyAlignment="0" applyProtection="0"/>
    <xf numFmtId="41" fontId="0" fillId="0" borderId="0" applyFill="0" applyBorder="0" applyAlignment="0" applyProtection="0"/>
    <xf numFmtId="177" fontId="0" fillId="0" borderId="0" applyFill="0" applyBorder="0" applyAlignment="0" applyProtection="0"/>
    <xf numFmtId="176" fontId="0" fillId="0" borderId="0" applyFill="0" applyBorder="0" applyAlignment="0" applyProtection="0"/>
    <xf numFmtId="177" fontId="0" fillId="0" borderId="0" applyFill="0" applyBorder="0" applyAlignment="0" applyProtection="0"/>
    <xf numFmtId="0" fontId="10" fillId="23" borderId="0" applyNumberFormat="0" applyBorder="0" applyAlignment="0" applyProtection="0"/>
    <xf numFmtId="0" fontId="43" fillId="0" borderId="0">
      <alignment/>
      <protection/>
    </xf>
    <xf numFmtId="0" fontId="0" fillId="0" borderId="0">
      <alignment/>
      <protection/>
    </xf>
    <xf numFmtId="0" fontId="43" fillId="0" borderId="0">
      <alignment/>
      <protection/>
    </xf>
    <xf numFmtId="0" fontId="0" fillId="24" borderId="6" applyNumberFormat="0" applyAlignment="0" applyProtection="0"/>
    <xf numFmtId="9" fontId="0" fillId="0" borderId="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401">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11" xfId="0" applyFont="1" applyFill="1" applyBorder="1" applyAlignment="1">
      <alignment horizontal="center" vertical="center" wrapText="1"/>
    </xf>
    <xf numFmtId="0" fontId="0" fillId="0" borderId="11" xfId="0" applyFont="1" applyBorder="1" applyAlignment="1">
      <alignment horizontal="center" vertical="center" wrapText="1"/>
    </xf>
    <xf numFmtId="9" fontId="0" fillId="0" borderId="11" xfId="0" applyNumberFormat="1" applyFont="1" applyFill="1" applyBorder="1" applyAlignment="1">
      <alignment horizontal="center" vertical="center" wrapText="1"/>
    </xf>
    <xf numFmtId="9" fontId="0" fillId="0" borderId="11" xfId="0" applyNumberFormat="1" applyFont="1" applyBorder="1" applyAlignment="1">
      <alignment horizontal="center" vertical="center" wrapText="1"/>
    </xf>
    <xf numFmtId="0" fontId="20" fillId="0" borderId="0" xfId="0" applyFont="1" applyBorder="1" applyAlignment="1">
      <alignment horizontal="left" vertical="center" wrapText="1"/>
    </xf>
    <xf numFmtId="0" fontId="18"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2" xfId="0" applyFont="1" applyBorder="1" applyAlignment="1">
      <alignment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0" fillId="0" borderId="13" xfId="0" applyFont="1" applyBorder="1" applyAlignment="1">
      <alignment vertical="center" wrapText="1"/>
    </xf>
    <xf numFmtId="0" fontId="19" fillId="0" borderId="0" xfId="0" applyFont="1" applyBorder="1" applyAlignment="1">
      <alignment vertical="center" wrapText="1"/>
    </xf>
    <xf numFmtId="0" fontId="0" fillId="0" borderId="14" xfId="0" applyFont="1" applyBorder="1" applyAlignment="1">
      <alignment vertical="center" wrapText="1"/>
    </xf>
    <xf numFmtId="0" fontId="20" fillId="0" borderId="14" xfId="0" applyFont="1" applyBorder="1" applyAlignment="1">
      <alignment vertical="center" wrapText="1"/>
    </xf>
    <xf numFmtId="0" fontId="0" fillId="0" borderId="0" xfId="0" applyFont="1" applyBorder="1" applyAlignment="1">
      <alignment horizontal="left" vertical="center" wrapText="1"/>
    </xf>
    <xf numFmtId="0" fontId="20" fillId="0" borderId="1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0" xfId="0" applyFont="1" applyBorder="1" applyAlignment="1">
      <alignment horizontal="center" vertical="center" wrapText="1"/>
    </xf>
    <xf numFmtId="0" fontId="0" fillId="0" borderId="14" xfId="0" applyFont="1" applyBorder="1" applyAlignment="1">
      <alignment horizontal="center" vertical="center" wrapText="1"/>
    </xf>
    <xf numFmtId="180" fontId="0" fillId="0" borderId="0" xfId="0" applyNumberFormat="1" applyFont="1" applyBorder="1" applyAlignment="1">
      <alignment horizontal="center" vertical="center" wrapText="1"/>
    </xf>
    <xf numFmtId="180" fontId="0" fillId="0" borderId="0" xfId="0" applyNumberFormat="1" applyFont="1" applyAlignment="1">
      <alignment horizontal="center" vertical="center" wrapText="1"/>
    </xf>
    <xf numFmtId="180" fontId="0" fillId="0" borderId="0" xfId="0" applyNumberFormat="1" applyFont="1" applyAlignment="1">
      <alignment vertical="center"/>
    </xf>
    <xf numFmtId="181" fontId="0" fillId="0" borderId="0" xfId="0" applyNumberFormat="1" applyFont="1" applyAlignment="1">
      <alignment vertical="center"/>
    </xf>
    <xf numFmtId="49" fontId="0" fillId="0" borderId="17" xfId="0" applyNumberFormat="1" applyFont="1" applyFill="1" applyBorder="1" applyAlignment="1">
      <alignment horizontal="center" vertical="center" wrapText="1"/>
    </xf>
    <xf numFmtId="1" fontId="0" fillId="0" borderId="11" xfId="0" applyNumberFormat="1" applyFont="1" applyFill="1" applyBorder="1" applyAlignment="1">
      <alignment horizontal="center" vertical="center" wrapText="1"/>
    </xf>
    <xf numFmtId="0" fontId="23" fillId="0" borderId="0" xfId="0" applyFont="1" applyAlignment="1">
      <alignment vertical="center"/>
    </xf>
    <xf numFmtId="9" fontId="0" fillId="0" borderId="11" xfId="6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1" xfId="0" applyFont="1" applyFill="1" applyBorder="1" applyAlignment="1">
      <alignment horizontal="center" vertical="center"/>
    </xf>
    <xf numFmtId="180" fontId="0" fillId="0" borderId="11" xfId="0" applyNumberFormat="1" applyFont="1" applyFill="1" applyBorder="1" applyAlignment="1">
      <alignment horizontal="right" vertical="center" wrapText="1"/>
    </xf>
    <xf numFmtId="0" fontId="0" fillId="0" borderId="19" xfId="0" applyFont="1" applyFill="1" applyBorder="1" applyAlignment="1">
      <alignment horizontal="center" vertical="center" wrapText="1"/>
    </xf>
    <xf numFmtId="1" fontId="0" fillId="0" borderId="11" xfId="60" applyNumberFormat="1" applyFont="1" applyFill="1" applyBorder="1" applyAlignment="1">
      <alignment horizontal="center" vertical="center" wrapText="1"/>
    </xf>
    <xf numFmtId="177" fontId="20" fillId="0" borderId="11" xfId="52" applyFont="1" applyFill="1" applyBorder="1" applyAlignment="1">
      <alignment horizontal="justify" vertical="center" wrapText="1"/>
    </xf>
    <xf numFmtId="0" fontId="20" fillId="0" borderId="18"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25" borderId="11" xfId="0" applyFont="1" applyFill="1" applyBorder="1" applyAlignment="1">
      <alignment horizontal="justify" vertical="center" wrapText="1"/>
    </xf>
    <xf numFmtId="0" fontId="20" fillId="0" borderId="11" xfId="0" applyFont="1" applyBorder="1" applyAlignment="1">
      <alignment horizontal="justify" vertical="center" wrapText="1"/>
    </xf>
    <xf numFmtId="9" fontId="0" fillId="26" borderId="11" xfId="0" applyNumberFormat="1" applyFont="1" applyFill="1" applyBorder="1" applyAlignment="1">
      <alignment horizontal="center" vertical="center" wrapText="1"/>
    </xf>
    <xf numFmtId="0" fontId="18" fillId="26" borderId="0" xfId="0" applyFont="1" applyFill="1" applyAlignment="1">
      <alignment vertical="center"/>
    </xf>
    <xf numFmtId="0" fontId="0" fillId="0" borderId="20" xfId="0" applyFont="1" applyBorder="1" applyAlignment="1">
      <alignment horizontal="center" vertical="center" wrapText="1"/>
    </xf>
    <xf numFmtId="0" fontId="0" fillId="0" borderId="20" xfId="0" applyFont="1" applyFill="1" applyBorder="1" applyAlignment="1">
      <alignment horizontal="center" vertical="center" wrapText="1"/>
    </xf>
    <xf numFmtId="0" fontId="0" fillId="0" borderId="11" xfId="0" applyFont="1" applyBorder="1" applyAlignment="1">
      <alignment vertical="center" wrapText="1"/>
    </xf>
    <xf numFmtId="0" fontId="0" fillId="0" borderId="11" xfId="0" applyFont="1" applyBorder="1" applyAlignment="1">
      <alignment horizontal="justify" vertical="center" wrapText="1"/>
    </xf>
    <xf numFmtId="49" fontId="0" fillId="0" borderId="11" xfId="0" applyNumberFormat="1" applyFont="1" applyBorder="1" applyAlignment="1">
      <alignment horizontal="center" vertical="center" wrapText="1"/>
    </xf>
    <xf numFmtId="49" fontId="0" fillId="0" borderId="11" xfId="0" applyNumberFormat="1" applyFont="1" applyFill="1" applyBorder="1" applyAlignment="1">
      <alignment horizontal="justify" vertical="center" wrapText="1"/>
    </xf>
    <xf numFmtId="0" fontId="18" fillId="0" borderId="11" xfId="0" applyFont="1" applyBorder="1" applyAlignment="1">
      <alignment vertical="center" wrapText="1"/>
    </xf>
    <xf numFmtId="0" fontId="0" fillId="0" borderId="11" xfId="0" applyFont="1" applyBorder="1" applyAlignment="1">
      <alignment horizontal="left" vertical="center" wrapText="1"/>
    </xf>
    <xf numFmtId="0" fontId="25" fillId="0" borderId="11" xfId="0" applyFont="1" applyFill="1" applyBorder="1" applyAlignment="1">
      <alignment horizontal="justify" vertical="center" wrapText="1"/>
    </xf>
    <xf numFmtId="0" fontId="25" fillId="26" borderId="11" xfId="0" applyFont="1" applyFill="1" applyBorder="1" applyAlignment="1">
      <alignment horizontal="justify" vertical="center" wrapText="1"/>
    </xf>
    <xf numFmtId="0" fontId="18" fillId="26" borderId="21" xfId="0" applyFont="1" applyFill="1" applyBorder="1" applyAlignment="1">
      <alignment horizontal="center" vertical="center" wrapText="1"/>
    </xf>
    <xf numFmtId="0" fontId="0" fillId="26" borderId="21" xfId="0" applyFont="1" applyFill="1" applyBorder="1" applyAlignment="1">
      <alignment horizontal="center" vertical="center" wrapText="1"/>
    </xf>
    <xf numFmtId="9" fontId="0" fillId="26" borderId="21" xfId="0" applyNumberFormat="1" applyFont="1" applyFill="1" applyBorder="1" applyAlignment="1">
      <alignment horizontal="center" vertical="center" wrapText="1"/>
    </xf>
    <xf numFmtId="9" fontId="0" fillId="26" borderId="22" xfId="49" applyNumberFormat="1" applyFont="1" applyFill="1" applyBorder="1" applyAlignment="1">
      <alignment horizontal="center" vertical="center" wrapText="1"/>
      <protection/>
    </xf>
    <xf numFmtId="0" fontId="0" fillId="0" borderId="0" xfId="0" applyFont="1" applyFill="1" applyAlignment="1">
      <alignment horizontal="justify" vertical="center" wrapText="1"/>
    </xf>
    <xf numFmtId="177" fontId="0" fillId="0" borderId="13" xfId="52" applyFont="1" applyFill="1" applyBorder="1" applyAlignment="1">
      <alignment horizontal="center" vertical="center" wrapText="1"/>
    </xf>
    <xf numFmtId="0" fontId="0" fillId="0" borderId="23" xfId="0" applyFont="1" applyFill="1" applyBorder="1" applyAlignment="1">
      <alignment horizontal="center" vertical="center" wrapText="1"/>
    </xf>
    <xf numFmtId="180" fontId="18" fillId="0" borderId="0" xfId="0" applyNumberFormat="1" applyFont="1" applyFill="1" applyBorder="1" applyAlignment="1">
      <alignment horizontal="center" vertical="center" wrapText="1"/>
    </xf>
    <xf numFmtId="9" fontId="0" fillId="0" borderId="23" xfId="60" applyFont="1" applyFill="1" applyBorder="1" applyAlignment="1">
      <alignment horizontal="center" vertical="center" wrapText="1"/>
    </xf>
    <xf numFmtId="0" fontId="44" fillId="0" borderId="0" xfId="0" applyFont="1" applyFill="1" applyAlignment="1">
      <alignment horizontal="justify" vertical="center" wrapText="1"/>
    </xf>
    <xf numFmtId="0" fontId="0" fillId="0" borderId="23" xfId="0" applyFont="1" applyBorder="1" applyAlignment="1">
      <alignment horizontal="center" vertical="center" wrapText="1"/>
    </xf>
    <xf numFmtId="9" fontId="0" fillId="0" borderId="23" xfId="0" applyNumberFormat="1" applyFont="1" applyBorder="1" applyAlignment="1">
      <alignment horizontal="center" vertical="center" wrapText="1"/>
    </xf>
    <xf numFmtId="49" fontId="0" fillId="0" borderId="24" xfId="0" applyNumberFormat="1" applyFont="1" applyFill="1" applyBorder="1" applyAlignment="1">
      <alignment horizontal="center" vertical="center" wrapText="1"/>
    </xf>
    <xf numFmtId="0" fontId="0" fillId="0" borderId="25" xfId="0" applyFont="1" applyFill="1" applyBorder="1" applyAlignment="1">
      <alignment horizontal="center" vertical="center" wrapText="1"/>
    </xf>
    <xf numFmtId="0" fontId="20" fillId="0" borderId="26" xfId="0" applyFont="1" applyBorder="1" applyAlignment="1">
      <alignment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10" fontId="0" fillId="0" borderId="0" xfId="0" applyNumberFormat="1" applyFont="1" applyFill="1" applyBorder="1" applyAlignment="1">
      <alignment horizontal="center" vertical="center" wrapText="1"/>
    </xf>
    <xf numFmtId="0" fontId="0" fillId="0" borderId="13" xfId="0" applyFont="1" applyFill="1" applyBorder="1" applyAlignment="1">
      <alignment horizontal="justify" vertical="center" wrapText="1"/>
    </xf>
    <xf numFmtId="0" fontId="20" fillId="0" borderId="27" xfId="0" applyFont="1" applyBorder="1" applyAlignment="1">
      <alignment vertical="center" wrapText="1"/>
    </xf>
    <xf numFmtId="0" fontId="20" fillId="0" borderId="28" xfId="0" applyFont="1" applyBorder="1" applyAlignment="1">
      <alignment vertical="center" wrapText="1"/>
    </xf>
    <xf numFmtId="0" fontId="18" fillId="0" borderId="29" xfId="0" applyFont="1" applyFill="1" applyBorder="1" applyAlignment="1">
      <alignment horizontal="left" vertical="center" wrapText="1"/>
    </xf>
    <xf numFmtId="0" fontId="18" fillId="0" borderId="0" xfId="0" applyFont="1" applyFill="1" applyBorder="1" applyAlignment="1">
      <alignment horizontal="center" vertical="center" wrapText="1"/>
    </xf>
    <xf numFmtId="10" fontId="18" fillId="0" borderId="0" xfId="0" applyNumberFormat="1" applyFont="1" applyFill="1" applyBorder="1" applyAlignment="1">
      <alignment horizontal="center" vertical="center" wrapText="1"/>
    </xf>
    <xf numFmtId="180" fontId="0" fillId="0" borderId="0" xfId="0" applyNumberFormat="1" applyFont="1" applyBorder="1" applyAlignment="1">
      <alignment horizontal="justify" vertical="center" wrapText="1"/>
    </xf>
    <xf numFmtId="0" fontId="0" fillId="0" borderId="0" xfId="0" applyFont="1" applyFill="1" applyAlignment="1">
      <alignment horizontal="center" vertical="center"/>
    </xf>
    <xf numFmtId="0" fontId="18" fillId="0" borderId="30" xfId="0" applyFont="1" applyFill="1" applyBorder="1" applyAlignment="1">
      <alignment horizontal="justify" vertical="center" wrapText="1"/>
    </xf>
    <xf numFmtId="0" fontId="18" fillId="0" borderId="30" xfId="0" applyFont="1" applyFill="1" applyBorder="1" applyAlignment="1">
      <alignment horizontal="center" vertical="center" wrapText="1"/>
    </xf>
    <xf numFmtId="0" fontId="18" fillId="27" borderId="30" xfId="0" applyFont="1" applyFill="1" applyBorder="1" applyAlignment="1">
      <alignment horizontal="center" vertical="center" wrapText="1"/>
    </xf>
    <xf numFmtId="1" fontId="18" fillId="27" borderId="30" xfId="0" applyNumberFormat="1" applyFont="1" applyFill="1" applyBorder="1" applyAlignment="1">
      <alignment horizontal="center" vertical="center" wrapText="1"/>
    </xf>
    <xf numFmtId="10" fontId="18" fillId="27" borderId="30" xfId="0" applyNumberFormat="1" applyFont="1" applyFill="1" applyBorder="1" applyAlignment="1">
      <alignment horizontal="center" vertical="center" wrapText="1"/>
    </xf>
    <xf numFmtId="0" fontId="18" fillId="27" borderId="30" xfId="0" applyFont="1" applyFill="1" applyBorder="1" applyAlignment="1">
      <alignment horizontal="justify" vertical="center" wrapText="1"/>
    </xf>
    <xf numFmtId="0" fontId="28" fillId="0" borderId="0" xfId="0" applyFont="1" applyAlignment="1">
      <alignment vertical="center"/>
    </xf>
    <xf numFmtId="10" fontId="18" fillId="28" borderId="30" xfId="0" applyNumberFormat="1" applyFont="1" applyFill="1" applyBorder="1" applyAlignment="1">
      <alignment horizontal="center" vertical="center" wrapText="1"/>
    </xf>
    <xf numFmtId="10" fontId="18" fillId="28" borderId="31" xfId="0" applyNumberFormat="1" applyFont="1" applyFill="1" applyBorder="1" applyAlignment="1">
      <alignment horizontal="center" vertical="center" wrapText="1"/>
    </xf>
    <xf numFmtId="10" fontId="18" fillId="28" borderId="32" xfId="0" applyNumberFormat="1" applyFont="1" applyFill="1" applyBorder="1" applyAlignment="1">
      <alignment horizontal="center" vertical="center" wrapText="1"/>
    </xf>
    <xf numFmtId="180" fontId="0" fillId="0" borderId="11" xfId="0" applyNumberFormat="1" applyFont="1" applyFill="1" applyBorder="1" applyAlignment="1">
      <alignment vertical="center" wrapText="1"/>
    </xf>
    <xf numFmtId="180" fontId="0" fillId="0" borderId="23" xfId="0" applyNumberFormat="1" applyFont="1" applyFill="1" applyBorder="1" applyAlignment="1">
      <alignment vertical="center" wrapText="1"/>
    </xf>
    <xf numFmtId="180" fontId="0" fillId="0" borderId="11" xfId="0" applyNumberFormat="1" applyFont="1" applyFill="1" applyBorder="1" applyAlignment="1">
      <alignment horizontal="center" vertical="center" wrapText="1"/>
    </xf>
    <xf numFmtId="0" fontId="18" fillId="0" borderId="23" xfId="0" applyFont="1" applyBorder="1" applyAlignment="1">
      <alignment vertical="center" wrapText="1"/>
    </xf>
    <xf numFmtId="0" fontId="0" fillId="26" borderId="23" xfId="0" applyFont="1" applyFill="1" applyBorder="1" applyAlignment="1">
      <alignment horizontal="center" vertical="center" wrapText="1"/>
    </xf>
    <xf numFmtId="0" fontId="0" fillId="0" borderId="23" xfId="0" applyFont="1" applyBorder="1" applyAlignment="1">
      <alignment vertical="center" wrapText="1"/>
    </xf>
    <xf numFmtId="0" fontId="0" fillId="0" borderId="23" xfId="0" applyFont="1" applyBorder="1" applyAlignment="1">
      <alignment horizontal="left" vertical="center" wrapText="1"/>
    </xf>
    <xf numFmtId="0" fontId="0" fillId="0" borderId="23" xfId="0" applyFont="1" applyBorder="1" applyAlignment="1">
      <alignment horizontal="justify" vertical="center" wrapText="1"/>
    </xf>
    <xf numFmtId="0" fontId="0" fillId="0" borderId="23" xfId="0" applyFont="1" applyFill="1" applyBorder="1" applyAlignment="1">
      <alignment horizontal="justify" vertical="center" wrapText="1"/>
    </xf>
    <xf numFmtId="1" fontId="0" fillId="0" borderId="23" xfId="0" applyNumberFormat="1" applyFont="1" applyBorder="1" applyAlignment="1">
      <alignment horizontal="center" vertical="center" wrapText="1"/>
    </xf>
    <xf numFmtId="1" fontId="0" fillId="0" borderId="33" xfId="0" applyNumberFormat="1" applyFont="1" applyBorder="1" applyAlignment="1">
      <alignment horizontal="center" vertical="center" wrapText="1"/>
    </xf>
    <xf numFmtId="0" fontId="20" fillId="0" borderId="23" xfId="0" applyFont="1" applyFill="1" applyBorder="1" applyAlignment="1">
      <alignment horizontal="justify" vertical="center" wrapText="1"/>
    </xf>
    <xf numFmtId="0" fontId="18" fillId="29" borderId="34" xfId="0" applyFont="1" applyFill="1" applyBorder="1" applyAlignment="1">
      <alignment horizontal="right" vertical="center" wrapText="1"/>
    </xf>
    <xf numFmtId="0" fontId="18" fillId="29" borderId="29" xfId="0" applyFont="1" applyFill="1" applyBorder="1" applyAlignment="1">
      <alignment horizontal="right" vertical="center" wrapText="1"/>
    </xf>
    <xf numFmtId="0" fontId="0" fillId="29" borderId="35" xfId="0" applyFont="1" applyFill="1" applyBorder="1" applyAlignment="1">
      <alignment horizontal="center" vertical="center" wrapText="1"/>
    </xf>
    <xf numFmtId="0" fontId="18" fillId="0" borderId="0" xfId="0" applyFont="1" applyFill="1" applyBorder="1" applyAlignment="1">
      <alignment horizontal="right" vertical="center" wrapText="1"/>
    </xf>
    <xf numFmtId="177" fontId="0" fillId="0" borderId="0" xfId="52" applyFont="1" applyFill="1" applyBorder="1" applyAlignment="1">
      <alignment horizontal="center" vertical="center" wrapText="1"/>
    </xf>
    <xf numFmtId="0" fontId="0" fillId="0" borderId="0" xfId="0" applyFont="1" applyFill="1" applyAlignment="1">
      <alignment vertical="center"/>
    </xf>
    <xf numFmtId="177" fontId="0" fillId="29" borderId="29" xfId="52" applyFont="1" applyFill="1" applyBorder="1" applyAlignment="1">
      <alignment horizontal="center" vertical="center" wrapText="1"/>
    </xf>
    <xf numFmtId="10" fontId="0" fillId="0" borderId="11" xfId="0" applyNumberFormat="1" applyFont="1" applyFill="1" applyBorder="1" applyAlignment="1">
      <alignment horizontal="center" vertical="center" wrapText="1"/>
    </xf>
    <xf numFmtId="10" fontId="18" fillId="29" borderId="29" xfId="0" applyNumberFormat="1" applyFont="1" applyFill="1" applyBorder="1" applyAlignment="1">
      <alignment horizontal="right" vertical="center" wrapText="1"/>
    </xf>
    <xf numFmtId="10" fontId="18" fillId="0" borderId="0" xfId="0" applyNumberFormat="1" applyFont="1" applyFill="1" applyBorder="1" applyAlignment="1">
      <alignment horizontal="right" vertical="center" wrapText="1"/>
    </xf>
    <xf numFmtId="0" fontId="0" fillId="0" borderId="11" xfId="0" applyFont="1" applyFill="1" applyBorder="1" applyAlignment="1">
      <alignment vertical="center" wrapText="1"/>
    </xf>
    <xf numFmtId="9" fontId="0" fillId="0" borderId="11" xfId="60" applyFill="1" applyBorder="1" applyAlignment="1">
      <alignment horizontal="center" vertical="center" wrapText="1"/>
    </xf>
    <xf numFmtId="9" fontId="0" fillId="0" borderId="23" xfId="60" applyFill="1" applyBorder="1" applyAlignment="1">
      <alignment horizontal="center" vertical="center" wrapText="1"/>
    </xf>
    <xf numFmtId="1" fontId="0" fillId="0" borderId="18" xfId="54" applyNumberFormat="1" applyFill="1" applyBorder="1" applyAlignment="1">
      <alignment horizontal="center" vertical="center" wrapText="1"/>
    </xf>
    <xf numFmtId="178" fontId="0" fillId="0" borderId="18" xfId="54" applyNumberFormat="1" applyFill="1" applyBorder="1" applyAlignment="1">
      <alignment horizontal="center" vertical="center" wrapText="1"/>
    </xf>
    <xf numFmtId="1" fontId="0" fillId="0" borderId="11" xfId="54" applyNumberFormat="1" applyFont="1" applyFill="1" applyBorder="1" applyAlignment="1">
      <alignment horizontal="center" vertical="center" wrapText="1"/>
    </xf>
    <xf numFmtId="178" fontId="0" fillId="0" borderId="11" xfId="54" applyNumberFormat="1" applyFont="1" applyFill="1" applyBorder="1" applyAlignment="1">
      <alignment horizontal="center" vertical="center" wrapText="1"/>
    </xf>
    <xf numFmtId="1" fontId="0" fillId="0" borderId="11" xfId="54" applyNumberFormat="1" applyFill="1" applyBorder="1" applyAlignment="1">
      <alignment horizontal="center" vertical="center" wrapText="1"/>
    </xf>
    <xf numFmtId="178" fontId="0" fillId="0" borderId="11" xfId="54" applyNumberFormat="1" applyFill="1" applyBorder="1" applyAlignment="1">
      <alignment horizontal="center" vertical="center" wrapText="1"/>
    </xf>
    <xf numFmtId="0" fontId="0" fillId="0" borderId="36" xfId="0" applyFont="1" applyFill="1" applyBorder="1" applyAlignment="1">
      <alignment vertical="center" wrapText="1"/>
    </xf>
    <xf numFmtId="177" fontId="0" fillId="0" borderId="11" xfId="54" applyFont="1" applyFill="1" applyBorder="1" applyAlignment="1">
      <alignment horizontal="center" vertical="center" wrapText="1"/>
    </xf>
    <xf numFmtId="177" fontId="0" fillId="0" borderId="11" xfId="54" applyFont="1" applyFill="1" applyBorder="1" applyAlignment="1">
      <alignment horizontal="left" vertical="center" wrapText="1"/>
    </xf>
    <xf numFmtId="177" fontId="0" fillId="0" borderId="11" xfId="54" applyFill="1" applyBorder="1" applyAlignment="1">
      <alignment horizontal="center" vertical="center" wrapText="1"/>
    </xf>
    <xf numFmtId="1" fontId="0" fillId="0" borderId="11" xfId="0" applyNumberFormat="1" applyFont="1" applyFill="1" applyBorder="1" applyAlignment="1">
      <alignment horizontal="right" vertical="center" wrapText="1"/>
    </xf>
    <xf numFmtId="180" fontId="0" fillId="0" borderId="37" xfId="0" applyNumberFormat="1" applyFont="1" applyFill="1" applyBorder="1" applyAlignment="1">
      <alignment horizontal="center" vertical="center" wrapText="1"/>
    </xf>
    <xf numFmtId="0" fontId="0" fillId="26" borderId="11" xfId="0" applyFont="1" applyFill="1" applyBorder="1" applyAlignment="1">
      <alignment horizontal="center" vertical="center" wrapText="1"/>
    </xf>
    <xf numFmtId="0" fontId="0" fillId="26" borderId="11" xfId="52" applyNumberFormat="1" applyFont="1" applyFill="1" applyBorder="1" applyAlignment="1">
      <alignment horizontal="justify" vertical="top" wrapText="1"/>
    </xf>
    <xf numFmtId="49" fontId="0" fillId="26" borderId="11" xfId="54" applyNumberFormat="1" applyFont="1" applyFill="1" applyBorder="1" applyAlignment="1">
      <alignment horizontal="justify" vertical="center" wrapText="1"/>
    </xf>
    <xf numFmtId="180" fontId="0" fillId="26" borderId="11" xfId="0" applyNumberFormat="1" applyFont="1" applyFill="1" applyBorder="1" applyAlignment="1">
      <alignment horizontal="justify" vertical="top" wrapText="1"/>
    </xf>
    <xf numFmtId="49" fontId="0" fillId="26" borderId="11" xfId="0" applyNumberFormat="1" applyFont="1" applyFill="1" applyBorder="1" applyAlignment="1">
      <alignment horizontal="justify" vertical="center" wrapText="1"/>
    </xf>
    <xf numFmtId="49" fontId="0" fillId="26" borderId="11" xfId="54" applyNumberFormat="1" applyFont="1" applyFill="1" applyBorder="1" applyAlignment="1">
      <alignment horizontal="justify" vertical="top" wrapText="1"/>
    </xf>
    <xf numFmtId="180" fontId="0" fillId="26" borderId="11" xfId="0" applyNumberFormat="1" applyFont="1" applyFill="1" applyBorder="1" applyAlignment="1">
      <alignment horizontal="justify" vertical="center" wrapText="1"/>
    </xf>
    <xf numFmtId="49" fontId="0" fillId="26" borderId="11" xfId="54" applyNumberFormat="1" applyFont="1" applyFill="1" applyBorder="1" applyAlignment="1">
      <alignment horizontal="justify" vertical="center" wrapText="1"/>
    </xf>
    <xf numFmtId="177" fontId="0" fillId="26" borderId="11" xfId="52" applyFont="1" applyFill="1" applyBorder="1" applyAlignment="1">
      <alignment horizontal="justify" vertical="top" wrapText="1"/>
    </xf>
    <xf numFmtId="177" fontId="0" fillId="26" borderId="11" xfId="52" applyFont="1" applyFill="1" applyBorder="1" applyAlignment="1">
      <alignment horizontal="justify" vertical="top" wrapText="1"/>
    </xf>
    <xf numFmtId="180" fontId="0" fillId="26" borderId="20" xfId="0" applyNumberFormat="1" applyFont="1" applyFill="1" applyBorder="1" applyAlignment="1">
      <alignment horizontal="justify" vertical="center" wrapText="1"/>
    </xf>
    <xf numFmtId="180" fontId="45" fillId="26" borderId="20" xfId="0" applyNumberFormat="1" applyFont="1" applyFill="1" applyBorder="1" applyAlignment="1">
      <alignment horizontal="justify" vertical="center"/>
    </xf>
    <xf numFmtId="9" fontId="45" fillId="26" borderId="11" xfId="0" applyNumberFormat="1" applyFont="1" applyFill="1" applyBorder="1" applyAlignment="1">
      <alignment horizontal="justify" vertical="center" wrapText="1"/>
    </xf>
    <xf numFmtId="180" fontId="0" fillId="26" borderId="23" xfId="0" applyNumberFormat="1" applyFont="1" applyFill="1" applyBorder="1" applyAlignment="1">
      <alignment horizontal="justify" vertical="top" wrapText="1"/>
    </xf>
    <xf numFmtId="9" fontId="0" fillId="26" borderId="11" xfId="60" applyFont="1" applyFill="1" applyBorder="1" applyAlignment="1">
      <alignment horizontal="center" vertical="center" wrapText="1"/>
    </xf>
    <xf numFmtId="9" fontId="0" fillId="26" borderId="11" xfId="60" applyNumberFormat="1" applyFill="1" applyBorder="1" applyAlignment="1">
      <alignment horizontal="center" vertical="center" wrapText="1"/>
    </xf>
    <xf numFmtId="189" fontId="0" fillId="26" borderId="11" xfId="0" applyNumberFormat="1" applyFont="1" applyFill="1" applyBorder="1" applyAlignment="1">
      <alignment horizontal="center" vertical="center" wrapText="1"/>
    </xf>
    <xf numFmtId="1" fontId="0" fillId="26" borderId="11" xfId="0" applyNumberFormat="1" applyFont="1" applyFill="1" applyBorder="1" applyAlignment="1">
      <alignment horizontal="center" vertical="center" wrapText="1"/>
    </xf>
    <xf numFmtId="9" fontId="0" fillId="26" borderId="23" xfId="60" applyFont="1" applyFill="1" applyBorder="1" applyAlignment="1">
      <alignment horizontal="center" vertical="center" wrapText="1"/>
    </xf>
    <xf numFmtId="0" fontId="0" fillId="26" borderId="11" xfId="0" applyFont="1" applyFill="1" applyBorder="1" applyAlignment="1">
      <alignment horizontal="center" vertical="center"/>
    </xf>
    <xf numFmtId="10" fontId="29" fillId="28" borderId="30" xfId="0" applyNumberFormat="1" applyFont="1" applyFill="1" applyBorder="1" applyAlignment="1">
      <alignment horizontal="center" vertical="center" wrapText="1"/>
    </xf>
    <xf numFmtId="0" fontId="30" fillId="0" borderId="0" xfId="0" applyFont="1" applyAlignment="1">
      <alignment/>
    </xf>
    <xf numFmtId="10" fontId="29" fillId="28" borderId="31" xfId="0" applyNumberFormat="1" applyFont="1" applyFill="1" applyBorder="1" applyAlignment="1">
      <alignment horizontal="center" vertical="center" wrapText="1"/>
    </xf>
    <xf numFmtId="10" fontId="29" fillId="28" borderId="32" xfId="0" applyNumberFormat="1"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18" xfId="0" applyFont="1" applyFill="1" applyBorder="1" applyAlignment="1">
      <alignment horizontal="justify" vertical="center" wrapText="1"/>
    </xf>
    <xf numFmtId="0" fontId="30" fillId="0" borderId="11" xfId="0" applyFont="1" applyFill="1" applyBorder="1" applyAlignment="1">
      <alignment horizontal="center" vertical="center" wrapText="1"/>
    </xf>
    <xf numFmtId="10" fontId="30" fillId="0" borderId="11" xfId="0" applyNumberFormat="1" applyFont="1" applyFill="1" applyBorder="1" applyAlignment="1">
      <alignment horizontal="center" vertical="center" wrapText="1"/>
    </xf>
    <xf numFmtId="0" fontId="30" fillId="0" borderId="11" xfId="0" applyFont="1" applyFill="1" applyBorder="1" applyAlignment="1">
      <alignment horizontal="justify" vertical="center" wrapText="1"/>
    </xf>
    <xf numFmtId="9" fontId="30" fillId="0" borderId="11" xfId="0" applyNumberFormat="1" applyFont="1" applyFill="1" applyBorder="1" applyAlignment="1">
      <alignment horizontal="center" vertical="center" wrapText="1"/>
    </xf>
    <xf numFmtId="9" fontId="30" fillId="26" borderId="11" xfId="0" applyNumberFormat="1" applyFont="1" applyFill="1" applyBorder="1" applyAlignment="1">
      <alignment horizontal="center" vertical="center" wrapText="1"/>
    </xf>
    <xf numFmtId="9" fontId="30" fillId="0" borderId="11" xfId="60" applyFont="1" applyFill="1" applyBorder="1" applyAlignment="1">
      <alignment horizontal="center" vertical="center" wrapText="1"/>
    </xf>
    <xf numFmtId="0" fontId="30" fillId="26" borderId="11" xfId="0" applyFont="1" applyFill="1" applyBorder="1" applyAlignment="1">
      <alignment horizontal="center" vertical="center" wrapText="1"/>
    </xf>
    <xf numFmtId="0" fontId="30" fillId="0" borderId="11" xfId="0" applyFont="1" applyFill="1" applyBorder="1" applyAlignment="1">
      <alignment horizontal="center" vertical="center"/>
    </xf>
    <xf numFmtId="0" fontId="30" fillId="26" borderId="11" xfId="0" applyFont="1" applyFill="1" applyBorder="1" applyAlignment="1">
      <alignment horizontal="center" vertical="center"/>
    </xf>
    <xf numFmtId="177" fontId="30" fillId="0" borderId="11" xfId="52" applyFont="1" applyFill="1" applyBorder="1" applyAlignment="1">
      <alignment horizontal="justify" vertical="center" wrapText="1"/>
    </xf>
    <xf numFmtId="180" fontId="30" fillId="0" borderId="11" xfId="0" applyNumberFormat="1" applyFont="1" applyFill="1" applyBorder="1" applyAlignment="1">
      <alignment vertical="center" wrapText="1"/>
    </xf>
    <xf numFmtId="0" fontId="30" fillId="0" borderId="23" xfId="0" applyFont="1" applyFill="1" applyBorder="1" applyAlignment="1">
      <alignment horizontal="center" vertical="center" wrapText="1"/>
    </xf>
    <xf numFmtId="180" fontId="30" fillId="0" borderId="23" xfId="0" applyNumberFormat="1" applyFont="1" applyFill="1" applyBorder="1" applyAlignment="1">
      <alignment vertical="center" wrapText="1"/>
    </xf>
    <xf numFmtId="9" fontId="30" fillId="0" borderId="23" xfId="60" applyFont="1" applyFill="1" applyBorder="1" applyAlignment="1">
      <alignment horizontal="center" vertical="center" wrapText="1"/>
    </xf>
    <xf numFmtId="9" fontId="30" fillId="26" borderId="11" xfId="60" applyFont="1" applyFill="1" applyBorder="1" applyAlignment="1">
      <alignment horizontal="center" vertical="center" wrapText="1"/>
    </xf>
    <xf numFmtId="0" fontId="30" fillId="25" borderId="11" xfId="0" applyFont="1" applyFill="1" applyBorder="1" applyAlignment="1">
      <alignment horizontal="justify" vertical="center" wrapText="1"/>
    </xf>
    <xf numFmtId="1" fontId="30" fillId="0" borderId="11" xfId="60" applyNumberFormat="1" applyFont="1" applyFill="1" applyBorder="1" applyAlignment="1">
      <alignment horizontal="center" vertical="center" wrapText="1"/>
    </xf>
    <xf numFmtId="0" fontId="46" fillId="0" borderId="0" xfId="0" applyFont="1" applyFill="1" applyAlignment="1">
      <alignment horizontal="justify" vertical="center" wrapText="1"/>
    </xf>
    <xf numFmtId="9" fontId="30" fillId="26" borderId="11" xfId="60" applyNumberFormat="1" applyFont="1" applyFill="1" applyBorder="1" applyAlignment="1">
      <alignment horizontal="center" vertical="center" wrapText="1"/>
    </xf>
    <xf numFmtId="1" fontId="30" fillId="0" borderId="11" xfId="0" applyNumberFormat="1" applyFont="1" applyFill="1" applyBorder="1" applyAlignment="1">
      <alignment horizontal="center" vertical="center" wrapText="1"/>
    </xf>
    <xf numFmtId="189" fontId="30" fillId="26" borderId="11" xfId="0" applyNumberFormat="1" applyFont="1" applyFill="1" applyBorder="1" applyAlignment="1">
      <alignment horizontal="center" vertical="center" wrapText="1"/>
    </xf>
    <xf numFmtId="1" fontId="30" fillId="26" borderId="11" xfId="0" applyNumberFormat="1" applyFont="1" applyFill="1" applyBorder="1" applyAlignment="1">
      <alignment horizontal="center" vertical="center" wrapText="1"/>
    </xf>
    <xf numFmtId="0" fontId="32" fillId="0" borderId="11" xfId="0" applyFont="1" applyFill="1" applyBorder="1" applyAlignment="1">
      <alignment horizontal="justify" vertical="center" wrapText="1"/>
    </xf>
    <xf numFmtId="0" fontId="30" fillId="0" borderId="11" xfId="0" applyFont="1" applyBorder="1" applyAlignment="1">
      <alignment horizontal="center" vertical="center" wrapText="1"/>
    </xf>
    <xf numFmtId="9" fontId="30" fillId="0" borderId="11" xfId="0" applyNumberFormat="1" applyFont="1" applyBorder="1" applyAlignment="1">
      <alignment horizontal="center" vertical="center" wrapText="1"/>
    </xf>
    <xf numFmtId="0" fontId="30" fillId="0" borderId="11" xfId="0" applyFont="1" applyBorder="1" applyAlignment="1">
      <alignment horizontal="justify" vertical="center" wrapText="1"/>
    </xf>
    <xf numFmtId="0" fontId="32" fillId="26" borderId="11" xfId="0" applyFont="1" applyFill="1" applyBorder="1" applyAlignment="1">
      <alignment horizontal="justify" vertical="center" wrapText="1"/>
    </xf>
    <xf numFmtId="0" fontId="30" fillId="0" borderId="0" xfId="0" applyFont="1" applyFill="1" applyAlignment="1">
      <alignment horizontal="justify" vertical="center" wrapText="1"/>
    </xf>
    <xf numFmtId="0" fontId="30" fillId="0" borderId="23" xfId="0" applyFont="1" applyFill="1" applyBorder="1" applyAlignment="1">
      <alignment horizontal="justify" vertical="center" wrapText="1"/>
    </xf>
    <xf numFmtId="9" fontId="30" fillId="26" borderId="23" xfId="60" applyFont="1" applyFill="1" applyBorder="1" applyAlignment="1">
      <alignment horizontal="center" vertical="center" wrapText="1"/>
    </xf>
    <xf numFmtId="180" fontId="0" fillId="0" borderId="18" xfId="54" applyNumberFormat="1" applyFont="1" applyFill="1" applyBorder="1" applyAlignment="1">
      <alignment horizontal="right" vertical="center" wrapText="1"/>
    </xf>
    <xf numFmtId="10" fontId="0" fillId="0" borderId="38" xfId="54" applyNumberFormat="1" applyFont="1" applyFill="1" applyBorder="1" applyAlignment="1">
      <alignment horizontal="center" vertical="center" wrapText="1"/>
    </xf>
    <xf numFmtId="180" fontId="0" fillId="0" borderId="11" xfId="0" applyNumberFormat="1" applyBorder="1" applyAlignment="1">
      <alignment horizontal="right" vertical="center" wrapText="1"/>
    </xf>
    <xf numFmtId="180" fontId="0" fillId="26" borderId="11" xfId="0" applyNumberFormat="1" applyFill="1" applyBorder="1" applyAlignment="1">
      <alignment horizontal="right" vertical="center" wrapText="1"/>
    </xf>
    <xf numFmtId="180" fontId="0" fillId="0" borderId="11" xfId="54" applyNumberFormat="1" applyFont="1" applyFill="1" applyBorder="1" applyAlignment="1">
      <alignment horizontal="right" vertical="center" wrapText="1"/>
    </xf>
    <xf numFmtId="1" fontId="0" fillId="0" borderId="37" xfId="60" applyNumberFormat="1" applyFont="1" applyFill="1" applyBorder="1" applyAlignment="1">
      <alignment horizontal="center" vertical="center" wrapText="1"/>
    </xf>
    <xf numFmtId="180" fontId="0" fillId="0" borderId="37" xfId="0" applyNumberFormat="1" applyBorder="1" applyAlignment="1">
      <alignment horizontal="right" vertical="center" wrapText="1"/>
    </xf>
    <xf numFmtId="10" fontId="18" fillId="0" borderId="37" xfId="0" applyNumberFormat="1" applyFont="1" applyBorder="1" applyAlignment="1">
      <alignment horizontal="center" vertical="center" wrapText="1"/>
    </xf>
    <xf numFmtId="177" fontId="18" fillId="29" borderId="15" xfId="54" applyFont="1" applyFill="1" applyBorder="1" applyAlignment="1">
      <alignment horizontal="center" vertical="center" wrapText="1"/>
    </xf>
    <xf numFmtId="177" fontId="18" fillId="29" borderId="39" xfId="54" applyFont="1" applyFill="1" applyBorder="1" applyAlignment="1">
      <alignment horizontal="center" vertical="center" wrapText="1"/>
    </xf>
    <xf numFmtId="1" fontId="18" fillId="0" borderId="0" xfId="0" applyNumberFormat="1" applyFont="1" applyAlignment="1">
      <alignment horizontal="center" vertical="center" wrapText="1"/>
    </xf>
    <xf numFmtId="0" fontId="30" fillId="30" borderId="11" xfId="0" applyFont="1" applyFill="1" applyBorder="1" applyAlignment="1">
      <alignment horizontal="center" vertical="center" wrapText="1"/>
    </xf>
    <xf numFmtId="0" fontId="30" fillId="0" borderId="11" xfId="52" applyNumberFormat="1" applyFont="1" applyFill="1" applyBorder="1" applyAlignment="1">
      <alignment horizontal="center" vertical="center" wrapText="1"/>
    </xf>
    <xf numFmtId="0" fontId="30" fillId="25" borderId="11" xfId="0" applyFont="1" applyFill="1" applyBorder="1" applyAlignment="1">
      <alignment horizontal="center" vertical="center" wrapText="1"/>
    </xf>
    <xf numFmtId="0" fontId="46" fillId="30" borderId="0" xfId="0" applyFont="1" applyFill="1" applyAlignment="1">
      <alignment horizontal="center" vertical="center" wrapText="1"/>
    </xf>
    <xf numFmtId="0" fontId="32" fillId="0" borderId="11" xfId="0" applyFont="1" applyFill="1" applyBorder="1" applyAlignment="1">
      <alignment horizontal="center" vertical="center" wrapText="1"/>
    </xf>
    <xf numFmtId="0" fontId="32" fillId="30" borderId="11" xfId="0" applyFont="1" applyFill="1" applyBorder="1" applyAlignment="1">
      <alignment horizontal="center" vertical="center" wrapText="1"/>
    </xf>
    <xf numFmtId="0" fontId="32" fillId="26" borderId="11" xfId="0" applyFont="1" applyFill="1" applyBorder="1" applyAlignment="1">
      <alignment horizontal="center" vertical="center" wrapText="1"/>
    </xf>
    <xf numFmtId="0" fontId="30" fillId="0" borderId="0" xfId="0" applyFont="1" applyFill="1" applyAlignment="1">
      <alignment horizontal="center" vertical="center" wrapText="1"/>
    </xf>
    <xf numFmtId="0" fontId="30" fillId="30" borderId="23" xfId="0" applyFont="1" applyFill="1" applyBorder="1" applyAlignment="1">
      <alignment horizontal="center" vertical="center" wrapText="1"/>
    </xf>
    <xf numFmtId="0" fontId="30" fillId="0" borderId="0" xfId="0" applyFont="1" applyAlignment="1">
      <alignment horizontal="center"/>
    </xf>
    <xf numFmtId="10" fontId="30" fillId="0" borderId="23" xfId="0" applyNumberFormat="1" applyFont="1" applyFill="1" applyBorder="1" applyAlignment="1">
      <alignment horizontal="center" vertical="center" wrapText="1"/>
    </xf>
    <xf numFmtId="10" fontId="30" fillId="0" borderId="11" xfId="0" applyNumberFormat="1" applyFont="1" applyFill="1" applyBorder="1" applyAlignment="1">
      <alignment horizontal="justify" vertical="center" wrapText="1"/>
    </xf>
    <xf numFmtId="10" fontId="30" fillId="0" borderId="0" xfId="0" applyNumberFormat="1" applyFont="1" applyAlignment="1">
      <alignment/>
    </xf>
    <xf numFmtId="0" fontId="0" fillId="0" borderId="40" xfId="0" applyFont="1" applyBorder="1" applyAlignment="1">
      <alignment horizontal="left" vertical="center" wrapText="1"/>
    </xf>
    <xf numFmtId="1" fontId="0" fillId="0" borderId="18" xfId="0" applyNumberFormat="1" applyFont="1" applyBorder="1" applyAlignment="1">
      <alignment horizontal="center" vertical="center" wrapText="1"/>
    </xf>
    <xf numFmtId="10" fontId="0" fillId="0" borderId="18" xfId="0" applyNumberFormat="1" applyFont="1" applyBorder="1" applyAlignment="1">
      <alignment horizontal="center" vertical="center" wrapText="1"/>
    </xf>
    <xf numFmtId="0" fontId="0" fillId="0" borderId="17" xfId="0" applyFont="1" applyBorder="1" applyAlignment="1">
      <alignment horizontal="left" vertical="center" wrapText="1"/>
    </xf>
    <xf numFmtId="1" fontId="0" fillId="0" borderId="11" xfId="0" applyNumberFormat="1" applyFont="1" applyBorder="1" applyAlignment="1">
      <alignment horizontal="center" vertical="center" wrapText="1"/>
    </xf>
    <xf numFmtId="10" fontId="0" fillId="0" borderId="11" xfId="0" applyNumberFormat="1" applyFont="1" applyBorder="1" applyAlignment="1">
      <alignment horizontal="center" vertical="center" wrapText="1"/>
    </xf>
    <xf numFmtId="0" fontId="0" fillId="0" borderId="41" xfId="0" applyFont="1" applyBorder="1" applyAlignment="1">
      <alignment horizontal="left" vertical="center" wrapText="1"/>
    </xf>
    <xf numFmtId="10" fontId="0" fillId="0" borderId="37" xfId="0" applyNumberFormat="1" applyFont="1" applyBorder="1" applyAlignment="1">
      <alignment horizontal="center" vertical="center" wrapText="1"/>
    </xf>
    <xf numFmtId="0" fontId="0" fillId="0" borderId="0" xfId="0" applyFont="1" applyAlignment="1">
      <alignment/>
    </xf>
    <xf numFmtId="178" fontId="0" fillId="0" borderId="0" xfId="0" applyNumberFormat="1" applyFont="1" applyAlignment="1">
      <alignment/>
    </xf>
    <xf numFmtId="10" fontId="0" fillId="0" borderId="0" xfId="0" applyNumberFormat="1" applyFont="1" applyAlignment="1">
      <alignment/>
    </xf>
    <xf numFmtId="180" fontId="0" fillId="0" borderId="0" xfId="0" applyNumberFormat="1" applyFont="1" applyAlignment="1">
      <alignment/>
    </xf>
    <xf numFmtId="177" fontId="0" fillId="0" borderId="0" xfId="0" applyNumberFormat="1" applyFont="1" applyAlignment="1">
      <alignment/>
    </xf>
    <xf numFmtId="10" fontId="0" fillId="29" borderId="29" xfId="52" applyNumberFormat="1" applyFont="1" applyFill="1" applyBorder="1" applyAlignment="1">
      <alignment horizontal="center" vertical="center" wrapText="1"/>
    </xf>
    <xf numFmtId="9" fontId="0" fillId="0" borderId="11" xfId="60" applyFill="1" applyBorder="1" applyAlignment="1">
      <alignment horizontal="center" vertical="center" wrapText="1"/>
    </xf>
    <xf numFmtId="180" fontId="0" fillId="0" borderId="11" xfId="0" applyNumberFormat="1" applyFont="1" applyFill="1" applyBorder="1" applyAlignment="1">
      <alignment vertical="center" wrapText="1"/>
    </xf>
    <xf numFmtId="180" fontId="0" fillId="0" borderId="11" xfId="0" applyNumberFormat="1" applyFont="1" applyFill="1" applyBorder="1" applyAlignment="1">
      <alignment horizontal="center" vertical="center" wrapText="1"/>
    </xf>
    <xf numFmtId="9" fontId="0" fillId="0" borderId="23" xfId="60" applyFill="1" applyBorder="1" applyAlignment="1">
      <alignment horizontal="center" vertical="center" wrapText="1"/>
    </xf>
    <xf numFmtId="9" fontId="0" fillId="0" borderId="21" xfId="60" applyFill="1" applyBorder="1" applyAlignment="1">
      <alignment horizontal="center" vertical="center" wrapText="1"/>
    </xf>
    <xf numFmtId="9" fontId="0" fillId="0" borderId="36" xfId="60" applyFill="1" applyBorder="1" applyAlignment="1">
      <alignment horizontal="center" vertical="center" wrapText="1"/>
    </xf>
    <xf numFmtId="180" fontId="0" fillId="0" borderId="23" xfId="0" applyNumberFormat="1" applyFont="1" applyFill="1" applyBorder="1" applyAlignment="1">
      <alignment vertical="center" wrapText="1"/>
    </xf>
    <xf numFmtId="180" fontId="0" fillId="0" borderId="21" xfId="0" applyNumberFormat="1" applyFont="1" applyFill="1" applyBorder="1" applyAlignment="1">
      <alignment vertical="center" wrapText="1"/>
    </xf>
    <xf numFmtId="180" fontId="0" fillId="0" borderId="36" xfId="0" applyNumberFormat="1" applyFont="1" applyFill="1" applyBorder="1" applyAlignment="1">
      <alignment vertical="center" wrapText="1"/>
    </xf>
    <xf numFmtId="178" fontId="0" fillId="0" borderId="18" xfId="52" applyNumberFormat="1" applyFont="1" applyFill="1" applyBorder="1" applyAlignment="1">
      <alignment vertical="center" wrapText="1"/>
    </xf>
    <xf numFmtId="178" fontId="0" fillId="0" borderId="11" xfId="52" applyNumberFormat="1" applyFont="1" applyFill="1" applyBorder="1" applyAlignment="1">
      <alignment vertical="center" wrapText="1"/>
    </xf>
    <xf numFmtId="9" fontId="0" fillId="0" borderId="18" xfId="60" applyFill="1" applyBorder="1" applyAlignment="1">
      <alignment horizontal="center" vertical="center" wrapText="1"/>
    </xf>
    <xf numFmtId="0" fontId="0" fillId="0" borderId="2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6" xfId="0" applyFont="1" applyBorder="1" applyAlignment="1">
      <alignment horizontal="center" vertical="center" wrapText="1"/>
    </xf>
    <xf numFmtId="9" fontId="0" fillId="0" borderId="23" xfId="0" applyNumberFormat="1" applyFont="1" applyBorder="1" applyAlignment="1">
      <alignment horizontal="center" vertical="center" wrapText="1"/>
    </xf>
    <xf numFmtId="9" fontId="0" fillId="0" borderId="21" xfId="0" applyNumberFormat="1" applyFont="1" applyBorder="1" applyAlignment="1">
      <alignment horizontal="center" vertical="center" wrapText="1"/>
    </xf>
    <xf numFmtId="9" fontId="0" fillId="0" borderId="36"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2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6" xfId="0" applyFont="1" applyFill="1" applyBorder="1" applyAlignment="1">
      <alignment horizontal="center" vertical="center" wrapText="1"/>
    </xf>
    <xf numFmtId="9" fontId="0" fillId="0" borderId="25" xfId="0" applyNumberFormat="1" applyFont="1" applyBorder="1" applyAlignment="1">
      <alignment horizontal="center" vertical="center" wrapText="1"/>
    </xf>
    <xf numFmtId="9" fontId="0" fillId="0" borderId="42" xfId="0" applyNumberFormat="1" applyFont="1" applyBorder="1" applyAlignment="1">
      <alignment horizontal="center" vertical="center" wrapText="1"/>
    </xf>
    <xf numFmtId="9" fontId="0" fillId="0" borderId="43" xfId="0" applyNumberFormat="1" applyFont="1" applyBorder="1" applyAlignment="1">
      <alignment horizontal="center" vertical="center" wrapText="1"/>
    </xf>
    <xf numFmtId="49" fontId="0" fillId="0" borderId="17"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177" fontId="0" fillId="0" borderId="23" xfId="52" applyFont="1" applyFill="1" applyBorder="1" applyAlignment="1">
      <alignment vertical="center" wrapText="1"/>
    </xf>
    <xf numFmtId="177" fontId="0" fillId="0" borderId="21" xfId="52" applyFont="1" applyFill="1" applyBorder="1" applyAlignment="1">
      <alignment vertical="center" wrapText="1"/>
    </xf>
    <xf numFmtId="177" fontId="0" fillId="0" borderId="36" xfId="52" applyFont="1" applyFill="1" applyBorder="1" applyAlignment="1">
      <alignment vertical="center" wrapText="1"/>
    </xf>
    <xf numFmtId="49" fontId="0" fillId="0" borderId="24" xfId="0" applyNumberFormat="1" applyFont="1" applyFill="1" applyBorder="1" applyAlignment="1">
      <alignment horizontal="center" vertical="center" wrapText="1"/>
    </xf>
    <xf numFmtId="49" fontId="0" fillId="0" borderId="44" xfId="0" applyNumberFormat="1" applyFont="1" applyFill="1" applyBorder="1" applyAlignment="1">
      <alignment horizontal="center" vertical="center" wrapText="1"/>
    </xf>
    <xf numFmtId="49" fontId="0" fillId="0" borderId="45" xfId="0" applyNumberFormat="1"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46" xfId="0"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36" xfId="0" applyNumberFormat="1" applyFont="1" applyBorder="1" applyAlignment="1">
      <alignment horizontal="center" vertical="center" wrapText="1"/>
    </xf>
    <xf numFmtId="0" fontId="18" fillId="0" borderId="0" xfId="0" applyFont="1" applyBorder="1" applyAlignment="1">
      <alignment horizontal="center" vertical="center" wrapText="1"/>
    </xf>
    <xf numFmtId="9" fontId="0" fillId="0" borderId="11" xfId="0" applyNumberFormat="1"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11" xfId="0" applyFont="1" applyFill="1" applyBorder="1" applyAlignment="1">
      <alignment horizontal="center" vertical="center"/>
    </xf>
    <xf numFmtId="0" fontId="18" fillId="0" borderId="23" xfId="0" applyFont="1" applyBorder="1" applyAlignment="1">
      <alignment horizontal="center" vertical="center" wrapText="1"/>
    </xf>
    <xf numFmtId="0" fontId="18" fillId="0" borderId="2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31" borderId="34" xfId="0" applyFont="1" applyFill="1" applyBorder="1" applyAlignment="1">
      <alignment horizontal="center" vertical="center" wrapText="1"/>
    </xf>
    <xf numFmtId="0" fontId="18" fillId="31" borderId="29" xfId="0"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0" fontId="47" fillId="31" borderId="34" xfId="0" applyFont="1" applyFill="1" applyBorder="1" applyAlignment="1">
      <alignment horizontal="center" vertical="center"/>
    </xf>
    <xf numFmtId="0" fontId="47" fillId="31" borderId="29" xfId="0" applyFont="1" applyFill="1" applyBorder="1" applyAlignment="1">
      <alignment horizontal="center" vertical="center"/>
    </xf>
    <xf numFmtId="0" fontId="47" fillId="31" borderId="35" xfId="0" applyFont="1" applyFill="1" applyBorder="1" applyAlignment="1">
      <alignment horizontal="center" vertical="center"/>
    </xf>
    <xf numFmtId="0" fontId="47" fillId="31" borderId="47" xfId="0" applyFont="1" applyFill="1" applyBorder="1" applyAlignment="1">
      <alignment horizontal="center" vertical="center"/>
    </xf>
    <xf numFmtId="0" fontId="47" fillId="31" borderId="32" xfId="0" applyFont="1" applyFill="1" applyBorder="1" applyAlignment="1">
      <alignment horizontal="center" vertical="center"/>
    </xf>
    <xf numFmtId="0" fontId="47" fillId="31" borderId="48" xfId="0" applyFont="1" applyFill="1" applyBorder="1" applyAlignment="1">
      <alignment horizontal="center" vertical="center"/>
    </xf>
    <xf numFmtId="0" fontId="47" fillId="31" borderId="31" xfId="0" applyFont="1" applyFill="1" applyBorder="1" applyAlignment="1">
      <alignment horizontal="center" vertical="center" wrapText="1"/>
    </xf>
    <xf numFmtId="0" fontId="47" fillId="31" borderId="39" xfId="0" applyFont="1" applyFill="1" applyBorder="1" applyAlignment="1">
      <alignment horizontal="center" vertical="center" wrapText="1"/>
    </xf>
    <xf numFmtId="0" fontId="0" fillId="0" borderId="20" xfId="0" applyFont="1" applyBorder="1" applyAlignment="1" quotePrefix="1">
      <alignment horizontal="center" vertical="center" wrapText="1"/>
    </xf>
    <xf numFmtId="9" fontId="0" fillId="0" borderId="18" xfId="0" applyNumberFormat="1" applyFont="1" applyBorder="1" applyAlignment="1">
      <alignment horizontal="center" vertical="center" wrapText="1"/>
    </xf>
    <xf numFmtId="180" fontId="18" fillId="0"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20" fillId="0" borderId="0" xfId="0" applyFont="1" applyBorder="1" applyAlignment="1">
      <alignment horizontal="left" vertical="center" wrapText="1"/>
    </xf>
    <xf numFmtId="49" fontId="0" fillId="0" borderId="11" xfId="0" applyNumberFormat="1" applyFont="1" applyBorder="1" applyAlignment="1">
      <alignment horizontal="center" vertical="center" wrapText="1"/>
    </xf>
    <xf numFmtId="9" fontId="0" fillId="0" borderId="33" xfId="49" applyNumberFormat="1" applyFont="1" applyFill="1" applyBorder="1" applyAlignment="1">
      <alignment horizontal="center" vertical="center" wrapText="1"/>
      <protection/>
    </xf>
    <xf numFmtId="9" fontId="0" fillId="0" borderId="22" xfId="49" applyNumberFormat="1" applyFont="1" applyFill="1" applyBorder="1" applyAlignment="1">
      <alignment horizontal="center" vertical="center" wrapText="1"/>
      <protection/>
    </xf>
    <xf numFmtId="0" fontId="18" fillId="0" borderId="18"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36" xfId="0" applyFont="1" applyBorder="1" applyAlignment="1">
      <alignment horizontal="center" vertical="center" wrapText="1"/>
    </xf>
    <xf numFmtId="9" fontId="0" fillId="0" borderId="33" xfId="0" applyNumberFormat="1" applyFont="1" applyBorder="1" applyAlignment="1">
      <alignment horizontal="center" vertical="center" wrapText="1"/>
    </xf>
    <xf numFmtId="9" fontId="0" fillId="0" borderId="22" xfId="0" applyNumberFormat="1" applyFont="1" applyBorder="1" applyAlignment="1">
      <alignment horizontal="center" vertical="center" wrapText="1"/>
    </xf>
    <xf numFmtId="9" fontId="0" fillId="0" borderId="46" xfId="0" applyNumberFormat="1" applyFont="1" applyBorder="1" applyAlignment="1">
      <alignment horizontal="center" vertical="center" wrapText="1"/>
    </xf>
    <xf numFmtId="9" fontId="0" fillId="0" borderId="46" xfId="49" applyNumberFormat="1" applyFont="1" applyFill="1" applyBorder="1" applyAlignment="1">
      <alignment horizontal="center" vertical="center" wrapText="1"/>
      <protection/>
    </xf>
    <xf numFmtId="0" fontId="18" fillId="32" borderId="40" xfId="0" applyFont="1" applyFill="1" applyBorder="1" applyAlignment="1">
      <alignment horizontal="center" vertical="center" wrapText="1"/>
    </xf>
    <xf numFmtId="0" fontId="18" fillId="32"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9" fontId="0" fillId="0" borderId="49" xfId="0" applyNumberFormat="1" applyFont="1" applyBorder="1" applyAlignment="1">
      <alignment horizontal="center" vertical="center" wrapText="1"/>
    </xf>
    <xf numFmtId="9" fontId="0" fillId="0" borderId="20" xfId="0" applyNumberFormat="1" applyFont="1" applyBorder="1" applyAlignment="1">
      <alignment horizontal="center" vertical="center" wrapText="1"/>
    </xf>
    <xf numFmtId="3" fontId="0" fillId="0" borderId="20" xfId="0" applyNumberFormat="1" applyFont="1" applyBorder="1" applyAlignment="1">
      <alignment horizontal="center" vertical="center" wrapText="1"/>
    </xf>
    <xf numFmtId="0" fontId="0" fillId="0" borderId="38" xfId="0"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49" fontId="0" fillId="0" borderId="36" xfId="0" applyNumberFormat="1" applyFont="1" applyFill="1" applyBorder="1" applyAlignment="1">
      <alignment horizontal="center" vertical="center" wrapText="1"/>
    </xf>
    <xf numFmtId="179" fontId="0" fillId="0" borderId="11" xfId="50" applyNumberFormat="1"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8" fillId="33" borderId="44" xfId="0" applyFont="1" applyFill="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44" xfId="0" applyNumberFormat="1" applyFont="1" applyBorder="1" applyAlignment="1">
      <alignment horizontal="center" vertical="center" wrapText="1"/>
    </xf>
    <xf numFmtId="49" fontId="0" fillId="0" borderId="45" xfId="0" applyNumberFormat="1" applyFont="1" applyBorder="1" applyAlignment="1">
      <alignment horizontal="center" vertical="center" wrapText="1"/>
    </xf>
    <xf numFmtId="0" fontId="18" fillId="0" borderId="34"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34"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3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7" fillId="31" borderId="50" xfId="0" applyFont="1" applyFill="1" applyBorder="1" applyAlignment="1">
      <alignment horizontal="center" vertical="center" wrapText="1"/>
    </xf>
    <xf numFmtId="0" fontId="18" fillId="31" borderId="31" xfId="0" applyFont="1" applyFill="1" applyBorder="1" applyAlignment="1">
      <alignment horizontal="center" vertical="center" wrapText="1"/>
    </xf>
    <xf numFmtId="0" fontId="18" fillId="31" borderId="50" xfId="0" applyFont="1" applyFill="1" applyBorder="1" applyAlignment="1">
      <alignment horizontal="center" vertical="center" wrapText="1"/>
    </xf>
    <xf numFmtId="0" fontId="18" fillId="28" borderId="31" xfId="0" applyFont="1" applyFill="1" applyBorder="1" applyAlignment="1">
      <alignment horizontal="center" vertical="center" wrapText="1"/>
    </xf>
    <xf numFmtId="0" fontId="18" fillId="28" borderId="50" xfId="0" applyFont="1" applyFill="1" applyBorder="1" applyAlignment="1">
      <alignment horizontal="center" vertical="center" wrapText="1"/>
    </xf>
    <xf numFmtId="0" fontId="18" fillId="27" borderId="31" xfId="0" applyFont="1" applyFill="1" applyBorder="1" applyAlignment="1">
      <alignment horizontal="center" vertical="center" wrapText="1"/>
    </xf>
    <xf numFmtId="0" fontId="18" fillId="27" borderId="50" xfId="0" applyFont="1" applyFill="1" applyBorder="1" applyAlignment="1">
      <alignment horizontal="center" vertical="center" wrapText="1"/>
    </xf>
    <xf numFmtId="0" fontId="26" fillId="0" borderId="47" xfId="0" applyFont="1" applyFill="1" applyBorder="1" applyAlignment="1">
      <alignment horizontal="center" vertical="center" wrapText="1"/>
    </xf>
    <xf numFmtId="0" fontId="26" fillId="0" borderId="32"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19" fillId="0" borderId="34" xfId="0" applyFont="1" applyFill="1" applyBorder="1" applyAlignment="1">
      <alignment horizontal="left" vertical="center"/>
    </xf>
    <xf numFmtId="0" fontId="19" fillId="0" borderId="29" xfId="0" applyFont="1" applyFill="1" applyBorder="1" applyAlignment="1">
      <alignment horizontal="left" vertical="center"/>
    </xf>
    <xf numFmtId="0" fontId="19" fillId="0" borderId="35" xfId="0" applyFont="1" applyFill="1" applyBorder="1" applyAlignment="1">
      <alignment horizontal="left" vertical="center"/>
    </xf>
    <xf numFmtId="0" fontId="19" fillId="0" borderId="14" xfId="0" applyFont="1" applyFill="1" applyBorder="1" applyAlignment="1">
      <alignment horizontal="left" vertical="center"/>
    </xf>
    <xf numFmtId="0" fontId="18" fillId="28" borderId="31" xfId="0" applyFont="1" applyFill="1" applyBorder="1" applyAlignment="1">
      <alignment horizontal="justify" vertical="center" wrapText="1"/>
    </xf>
    <xf numFmtId="0" fontId="18" fillId="28" borderId="50" xfId="0" applyFont="1" applyFill="1" applyBorder="1" applyAlignment="1">
      <alignment horizontal="justify" vertical="center" wrapText="1"/>
    </xf>
    <xf numFmtId="9" fontId="30" fillId="0" borderId="11" xfId="60" applyFont="1" applyFill="1" applyBorder="1" applyAlignment="1">
      <alignment horizontal="center" vertical="center" wrapText="1"/>
    </xf>
    <xf numFmtId="0" fontId="29" fillId="31" borderId="31" xfId="0" applyFont="1" applyFill="1" applyBorder="1" applyAlignment="1">
      <alignment horizontal="center" vertical="center" wrapText="1"/>
    </xf>
    <xf numFmtId="0" fontId="29" fillId="31" borderId="39" xfId="0" applyFont="1" applyFill="1" applyBorder="1" applyAlignment="1">
      <alignment horizontal="center" vertical="center" wrapText="1"/>
    </xf>
    <xf numFmtId="0" fontId="30" fillId="0" borderId="11" xfId="0" applyFont="1" applyFill="1" applyBorder="1" applyAlignment="1">
      <alignment horizontal="center" vertical="center" wrapText="1"/>
    </xf>
    <xf numFmtId="180" fontId="30" fillId="0" borderId="11" xfId="0" applyNumberFormat="1" applyFont="1" applyFill="1" applyBorder="1" applyAlignment="1">
      <alignment vertical="center" wrapText="1"/>
    </xf>
    <xf numFmtId="0" fontId="30" fillId="0" borderId="23"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36" xfId="0" applyFont="1" applyFill="1" applyBorder="1" applyAlignment="1">
      <alignment horizontal="center" vertical="center" wrapText="1"/>
    </xf>
    <xf numFmtId="180" fontId="30" fillId="0" borderId="23" xfId="0" applyNumberFormat="1" applyFont="1" applyFill="1" applyBorder="1" applyAlignment="1">
      <alignment vertical="center" wrapText="1"/>
    </xf>
    <xf numFmtId="180" fontId="30" fillId="0" borderId="21" xfId="0" applyNumberFormat="1" applyFont="1" applyFill="1" applyBorder="1" applyAlignment="1">
      <alignment vertical="center" wrapText="1"/>
    </xf>
    <xf numFmtId="180" fontId="30" fillId="0" borderId="36" xfId="0" applyNumberFormat="1" applyFont="1" applyFill="1" applyBorder="1" applyAlignment="1">
      <alignment vertical="center" wrapText="1"/>
    </xf>
    <xf numFmtId="9" fontId="30" fillId="0" borderId="23" xfId="60" applyFont="1" applyFill="1" applyBorder="1" applyAlignment="1">
      <alignment horizontal="center" vertical="center" wrapText="1"/>
    </xf>
    <xf numFmtId="9" fontId="30" fillId="0" borderId="21" xfId="60" applyFont="1" applyFill="1" applyBorder="1" applyAlignment="1">
      <alignment horizontal="center" vertical="center" wrapText="1"/>
    </xf>
    <xf numFmtId="9" fontId="30" fillId="0" borderId="36" xfId="60" applyFont="1" applyFill="1" applyBorder="1" applyAlignment="1">
      <alignment horizontal="center" vertical="center" wrapText="1"/>
    </xf>
    <xf numFmtId="180" fontId="30" fillId="0" borderId="11" xfId="0" applyNumberFormat="1" applyFont="1" applyFill="1" applyBorder="1" applyAlignment="1">
      <alignment horizontal="center" vertical="center" wrapText="1"/>
    </xf>
    <xf numFmtId="10" fontId="30" fillId="0" borderId="23" xfId="0" applyNumberFormat="1" applyFont="1" applyFill="1" applyBorder="1" applyAlignment="1">
      <alignment horizontal="center" vertical="center" wrapText="1"/>
    </xf>
    <xf numFmtId="10" fontId="30" fillId="0" borderId="21" xfId="0" applyNumberFormat="1" applyFont="1" applyFill="1" applyBorder="1" applyAlignment="1">
      <alignment horizontal="center" vertical="center" wrapText="1"/>
    </xf>
    <xf numFmtId="10" fontId="30" fillId="0" borderId="36" xfId="0" applyNumberFormat="1" applyFont="1" applyFill="1" applyBorder="1" applyAlignment="1">
      <alignment horizontal="center" vertical="center" wrapText="1"/>
    </xf>
    <xf numFmtId="177" fontId="30" fillId="0" borderId="23" xfId="52" applyFont="1" applyFill="1" applyBorder="1" applyAlignment="1">
      <alignment vertical="center" wrapText="1"/>
    </xf>
    <xf numFmtId="177" fontId="30" fillId="0" borderId="21" xfId="52" applyFont="1" applyFill="1" applyBorder="1" applyAlignment="1">
      <alignment vertical="center" wrapText="1"/>
    </xf>
    <xf numFmtId="177" fontId="30" fillId="0" borderId="36" xfId="52" applyFont="1" applyFill="1" applyBorder="1" applyAlignment="1">
      <alignment vertical="center" wrapText="1"/>
    </xf>
    <xf numFmtId="0" fontId="30" fillId="30" borderId="11" xfId="0" applyFont="1" applyFill="1" applyBorder="1" applyAlignment="1">
      <alignment horizontal="center" vertical="center" wrapText="1"/>
    </xf>
    <xf numFmtId="10" fontId="30" fillId="0" borderId="23" xfId="52" applyNumberFormat="1" applyFont="1" applyFill="1" applyBorder="1" applyAlignment="1">
      <alignment horizontal="center" vertical="center" wrapText="1"/>
    </xf>
    <xf numFmtId="10" fontId="30" fillId="0" borderId="21" xfId="52" applyNumberFormat="1" applyFont="1" applyFill="1" applyBorder="1" applyAlignment="1">
      <alignment horizontal="center" vertical="center" wrapText="1"/>
    </xf>
    <xf numFmtId="10" fontId="30" fillId="0" borderId="36" xfId="52" applyNumberFormat="1" applyFont="1" applyFill="1" applyBorder="1" applyAlignment="1">
      <alignment horizontal="center" vertical="center" wrapText="1"/>
    </xf>
    <xf numFmtId="178" fontId="30" fillId="0" borderId="11" xfId="52" applyNumberFormat="1" applyFont="1" applyFill="1" applyBorder="1" applyAlignment="1">
      <alignment vertical="center" wrapText="1"/>
    </xf>
    <xf numFmtId="9" fontId="30" fillId="0" borderId="18" xfId="60" applyFont="1" applyFill="1" applyBorder="1" applyAlignment="1">
      <alignment horizontal="center" vertical="center" wrapText="1"/>
    </xf>
    <xf numFmtId="10" fontId="30" fillId="0" borderId="51" xfId="0" applyNumberFormat="1" applyFont="1" applyFill="1" applyBorder="1" applyAlignment="1">
      <alignment horizontal="center" vertical="center" wrapText="1"/>
    </xf>
    <xf numFmtId="0" fontId="29" fillId="27" borderId="31" xfId="0" applyFont="1" applyFill="1" applyBorder="1" applyAlignment="1">
      <alignment horizontal="center" vertical="center" wrapText="1"/>
    </xf>
    <xf numFmtId="0" fontId="29" fillId="27" borderId="50" xfId="0" applyFont="1" applyFill="1" applyBorder="1" applyAlignment="1">
      <alignment horizontal="center" vertical="center" wrapText="1"/>
    </xf>
    <xf numFmtId="0" fontId="29" fillId="28" borderId="31" xfId="0" applyFont="1" applyFill="1" applyBorder="1" applyAlignment="1">
      <alignment horizontal="center" vertical="center" wrapText="1"/>
    </xf>
    <xf numFmtId="0" fontId="29" fillId="28" borderId="50" xfId="0" applyFont="1" applyFill="1" applyBorder="1" applyAlignment="1">
      <alignment horizontal="center" vertical="center" wrapText="1"/>
    </xf>
    <xf numFmtId="0" fontId="30" fillId="0" borderId="18" xfId="0" applyFont="1" applyFill="1" applyBorder="1" applyAlignment="1">
      <alignment horizontal="center" vertical="center" wrapText="1"/>
    </xf>
    <xf numFmtId="178" fontId="30" fillId="0" borderId="18" xfId="52" applyNumberFormat="1" applyFont="1" applyFill="1" applyBorder="1" applyAlignment="1">
      <alignment vertical="center" wrapText="1"/>
    </xf>
    <xf numFmtId="0" fontId="29" fillId="31" borderId="50" xfId="0" applyFont="1" applyFill="1" applyBorder="1" applyAlignment="1">
      <alignment horizontal="center" vertical="center" wrapText="1"/>
    </xf>
    <xf numFmtId="10" fontId="30" fillId="0" borderId="52" xfId="0" applyNumberFormat="1" applyFont="1" applyFill="1" applyBorder="1" applyAlignment="1">
      <alignment horizontal="center" vertical="center" wrapText="1"/>
    </xf>
    <xf numFmtId="10" fontId="30" fillId="0" borderId="53" xfId="0" applyNumberFormat="1" applyFont="1" applyFill="1" applyBorder="1" applyAlignment="1">
      <alignment horizontal="center" vertical="center" wrapText="1"/>
    </xf>
    <xf numFmtId="10" fontId="30" fillId="0" borderId="54" xfId="0" applyNumberFormat="1" applyFont="1" applyFill="1" applyBorder="1" applyAlignment="1">
      <alignment horizontal="center" vertical="center" wrapText="1"/>
    </xf>
    <xf numFmtId="10" fontId="32" fillId="0" borderId="23" xfId="0" applyNumberFormat="1" applyFont="1" applyFill="1" applyBorder="1" applyAlignment="1">
      <alignment horizontal="center" vertical="center" wrapText="1"/>
    </xf>
    <xf numFmtId="10" fontId="32" fillId="0" borderId="21" xfId="0" applyNumberFormat="1" applyFont="1" applyFill="1" applyBorder="1" applyAlignment="1">
      <alignment horizontal="center" vertical="center" wrapText="1"/>
    </xf>
    <xf numFmtId="10" fontId="32" fillId="0" borderId="36" xfId="0" applyNumberFormat="1" applyFont="1" applyFill="1" applyBorder="1" applyAlignment="1">
      <alignment horizontal="center" vertical="center" wrapText="1"/>
    </xf>
    <xf numFmtId="10" fontId="32" fillId="0" borderId="52" xfId="0" applyNumberFormat="1" applyFont="1" applyFill="1" applyBorder="1" applyAlignment="1">
      <alignment horizontal="center" vertical="center" wrapText="1"/>
    </xf>
    <xf numFmtId="10" fontId="32" fillId="0" borderId="53" xfId="0" applyNumberFormat="1" applyFont="1" applyFill="1" applyBorder="1" applyAlignment="1">
      <alignment horizontal="center" vertical="center" wrapText="1"/>
    </xf>
    <xf numFmtId="10" fontId="32" fillId="0" borderId="54" xfId="0" applyNumberFormat="1"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_Main" xfId="49"/>
    <cellStyle name="Comma" xfId="50"/>
    <cellStyle name="Comma [0]" xfId="51"/>
    <cellStyle name="Currency" xfId="52"/>
    <cellStyle name="Currency [0]" xfId="53"/>
    <cellStyle name="Moneda 2" xfId="54"/>
    <cellStyle name="Neutral" xfId="55"/>
    <cellStyle name="Normal 2" xfId="56"/>
    <cellStyle name="Normal 3" xfId="57"/>
    <cellStyle name="Normal 4"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1343025</xdr:colOff>
      <xdr:row>0</xdr:row>
      <xdr:rowOff>76200</xdr:rowOff>
    </xdr:from>
    <xdr:to>
      <xdr:col>1</xdr:col>
      <xdr:colOff>466725</xdr:colOff>
      <xdr:row>3</xdr:row>
      <xdr:rowOff>257175</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43025" y="76200"/>
          <a:ext cx="895350" cy="1047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uliana\Downloads\3.5.SEGUIMIENTO_PLAN_DE_ACCI&#211;N_2021_3T_SEPTIEMB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DE ACCION"/>
    </sheetNames>
    <sheetDataSet>
      <sheetData sheetId="0">
        <row r="12">
          <cell r="AA12" t="str">
            <v>Se identificaron e incluyeron en el SIMAP  4 áreas corresponiente a las microcuencas (Cristales, La Florida, Hojas Anchas y Paugil), se realizó la actualizacion del decreto 140/2000,  se efectuó recopilación de datos informativos para identificar posibles</v>
          </cell>
        </row>
        <row r="13">
          <cell r="AA13" t="str">
            <v>Se lleva a cabo por demanda, se han recibido solicitudes de los predios Reserva Natural La María del 01-02-2021, se da Rpta a traves del DP-POT-639 del 16-02-2021, en DP-PDE-5986 del 23-07-2021 se solicita a DAHM por competencia la aplicación de exención </v>
          </cell>
        </row>
        <row r="14">
          <cell r="AA14" t="str">
            <v>Se cuenta con un informe tecnico de todas las intervenciones pendientes por ejecutar en cuanto a talas, podas y desorille, debidamente georreferenciadas y con registros fotograficos de 391 puntos, se realizaron las gestiones para contar con los permisos d</v>
          </cell>
        </row>
        <row r="15">
          <cell r="AA15" t="str">
            <v>Se han georreferenciado entre arboles y guaduales en el 1er trimestre 226, 2do trimestre 364. 3er Trimestre 21 guaduales en diferentes sectores de la ciudad. TOTAL: 611 </v>
          </cell>
        </row>
        <row r="16">
          <cell r="AA16" t="str">
            <v>Se llevo a cabo actualización del documento con respecto a los inventarios forestales, por lo que el proceso de edición tuvo que ser modificado y se realizó una nueva estructuración por comuna.</v>
          </cell>
        </row>
        <row r="17">
          <cell r="AA17" t="str">
            <v>Se cuenta con un informe tecnico de todas las intervenciones pendientes por ejecutar en cuanto a talas, podas y desorille, debidamente georreferenciadas y con registros fotograficos, ademas de contar con los permisos de la oficina munipal para la gestión </v>
          </cell>
        </row>
        <row r="18">
          <cell r="AA18" t="str">
            <v>Se han realizado 18 jornadas de impieza de quebrada en zonas de importancia ambiental en Microcuencas Venus, Laureles, Florida, Santa Elena, Montañita, Los Quindos, Yeguas-Santander, Centenario, Armenia, Quebrada Espejo, La Clarita, Centenario Norte, La A</v>
          </cell>
        </row>
        <row r="19">
          <cell r="AA19" t="str">
            <v>Se continua realizando la intervencion en el sendero del barrio el silencio y montevideo en las fechas 26-07-2021 y 26-09-2021, el 13-09-2021 en sendero Villa Italia - La Cecilia en manejo de residuos sólidos en ladera.</v>
          </cell>
        </row>
        <row r="20">
          <cell r="AA20" t="str">
            <v>Se finalizó el documento diagnostico del estado actual de las microcuencas y se dio inicio con la caraterización de las microcuencas La Aldana y Hojas Anchas, en el proceso se recogieron evidencias ( registros fotográficos, fichas de vertimientos y caract</v>
          </cell>
        </row>
        <row r="21">
          <cell r="AA21" t="str">
            <v>Se han desarrollado labores de: Llenado de bolsa, riego, retiro de malezas y arvenses en bolsa y en germinador, control biológico, recolección de semilla, hidratación de semilla, siembra de semilla en germinador, se tienen para este segundo trimestre del </v>
          </cell>
        </row>
        <row r="22">
          <cell r="AA22" t="str">
            <v>Se culmino el levantamiento de germinadores en un area aproximadamente de 20 metros cuadrados, levantamiento de techos en guadua y en plastico transparente, se ha realizado el suministro de material vegetal, se lleva registro de todas las actividades que </v>
          </cell>
        </row>
        <row r="23">
          <cell r="AA23" t="str">
            <v>Se identificaron 518 fuentes de contaminación que vierten a las microcuencas Cristales, Yeguas, La florida, Hojas Anchas, La Clarita-La Patria,  y en barrios Villa Angela, 25 Mayo, Santander, La Pavona,  La Gallera, La Castilla y Las Americas) a traves de</v>
          </cell>
        </row>
        <row r="24">
          <cell r="AA24" t="str">
            <v>En proceso de firma de Convenio  interadministrativo con la CRQ para la construcción del Plan de Manejo de los predios adquiridos (Se hizo llegar a la oficina juridica de CRQ el estudio de titulos de los predios y los estudios previso para revision del fu</v>
          </cell>
        </row>
        <row r="25">
          <cell r="AA25" t="str">
            <v>Se consolido la información en fichas tecnicas, tabla de Excel y Google Earth Pro - de los vertimientos.</v>
          </cell>
        </row>
        <row r="26">
          <cell r="AA26" t="str">
            <v>Se dio cumplimiento con la elaboración del documento correspondiente a las estrategias de mitigación y en el cual se proponen actividades a realizar : 1-Educación Ambiental. 2- Remoción de material flotante, Así mismo se presenta otra estrategia de mitiga</v>
          </cell>
        </row>
        <row r="27">
          <cell r="AA27" t="str">
            <v>Se creo (Estrategias de Información, educación y comunicación IEC para el programa de aporvechamiento del PGIRS de Armenia.   Igualmente se elaboraron los manuales de: Manejo adecuado de residuos para eventos masivos, Manual manejo adecuado de residuos pa</v>
          </cell>
        </row>
        <row r="28">
          <cell r="AA28" t="str">
            <v>Mediante el convenio de asociación No.028 se encuentra en desarrollo  la actualización del PGIRS, se llevó a cabo el primer comité técnico donde se socializo la necesidad que se tiene de actualizar el documento PGIRS, se está a la espera del proximo comit</v>
          </cell>
        </row>
        <row r="29">
          <cell r="AA29" t="str">
            <v>Se generó guía sobre normatividad general ambiental dirigida sectores productivos de la ciudad de Armenia, priorizando el sector salud, educación e industria. En el momento el documento es de carácter preliminar ya que se le están realizando ajustes para </v>
          </cell>
        </row>
        <row r="30">
          <cell r="AA30" t="str">
            <v>A la fecha se han desarrollado un total de Diez (10) capacitaciones en temáticas referentes al manejo ambiental de acuerdo al establecimiento en el marco de la conservación del PCC y del desarrollo ambientalmente sostenible del municipio, las cuales se ll</v>
          </cell>
        </row>
        <row r="31">
          <cell r="AA31" t="str">
            <v>Se realizaron visitas a los sitios donde se trabaja la mineria artesanal en el Municipio de Armenia, Sector la Maria, Sector Rio Puerto Espejo y Sector Chaguala, donde se sensibilizo a los Mineros Artesanales a traves de una encuesta en el aplicativo Meme</v>
          </cell>
        </row>
        <row r="32">
          <cell r="AA32" t="str">
            <v>Se realizaron 2 documentos tecnicos  guias de buenas practias ambianteles 1  folletos y 1 cartilla de los cuales se van a entregar 500 ejemplares de cada uno en los talleres a realizarse en las insituciones educativas y sector minero</v>
          </cell>
        </row>
        <row r="33">
          <cell r="AA33" t="str">
            <v>Se desarrollaron capacitacione en temáticas de: Uso y ahorro Eficiente del Agua, Biodiversidad, Cambio Climatico) en las I.E. Camara Junior, La Povona, Santa Teresa de Jesus, Ciudad Milagro, Ciudadela del Sur, Laura Vicuña, Los Quindos, Olaya Herrera, Rep</v>
          </cell>
        </row>
        <row r="34">
          <cell r="AA34" t="str">
            <v>Se desarrollaron capacitaciones en: Comunidad Guaduales de la Villa, Barrio La Mariela, Barrio El Silencio, La Castilla, Barrio Belen, La Cecilia, Montevideo, Centro Comercial del Café, Tigreros. Talleres Imaginarios en: La Cecilia - Comunidad Indigena Em</v>
          </cell>
        </row>
        <row r="35">
          <cell r="AA35" t="str">
            <v>En el primer trimestre se realizo una pieza publicitaria denominada PA´CUIDAR LO NUESTRO formada  por 5 piezas ambientales (Agua, Árboles, Basura, Invasiones y Mascotas), para realizar campaña divulgativa. En el 2do trimestre se desarrolló campaña publici</v>
          </cell>
        </row>
        <row r="36">
          <cell r="AA36" t="str">
            <v>Se identifico el proceda Guaduales de la Villa, Barrio La Esmeralda, Entre Verdes, Barrio Tigreros.  Se brinda apoyo al proceda Guaduales de La Villa en jornada de lipieza, mesa temática para consolidación del proceda Acta. No.490 de septiembre 24 de 2021</v>
          </cell>
        </row>
        <row r="37">
          <cell r="AA37" t="str">
            <v>En el mes de febrero se realizaron 2 (Parte faltante Quindos y Bolivar bajo (sector la GranColombia)). En marzo se realizaron  2 (Las Americas - La Gallera)-Se llevaron a cabo en Aldea Baja (Sector Parqueaderos de la EPA), Florida Baja, complemento Puerto</v>
          </cell>
        </row>
        <row r="38">
          <cell r="AA38" t="str">
            <v>Se reporto al Ministerio  Los Quindos Bajo (Se tiene como evidencia correo electronico y pantallazo de reporte).</v>
          </cell>
        </row>
        <row r="39">
          <cell r="AA39" t="str">
            <v>Se llevaron a cabo los sobrevuelos en Aldea Baja (Sector Parqueaderos de la EPA), Florida Baja, complemento Puerto Rico,- La Patria, Quintas de Los Andes y Quintas de Juliana, San José Bajo Frente a Minorista Se da aplicación a los lineamientos normativos</v>
          </cell>
        </row>
        <row r="40">
          <cell r="AA40" t="str">
            <v>Durante el periodo se recepcionaron 1743 PQRS,   de los cuales a 1712 que corresponde a respuestas dadas dentro del mismo periodo, lo que corresponde a un 98% del total de las PQRS recibidas. Se hace enfasis en que este % de respuestas durante el periodo </v>
          </cell>
        </row>
        <row r="41">
          <cell r="AA41" t="str">
            <v>Se han realizado 979 visitas de Inspección normas urbanisticas de control  y grandes obras </v>
          </cell>
        </row>
        <row r="42">
          <cell r="AA42" t="str">
            <v>En el 1er trimestre fueron remitidas por incumplimiento de normatividad 43  Visitas Técnicas (13 Inspección 8a y 30 Inspección C.U), Total 43. En el 2do trimestre a la Inspeccion 8va (9),  Inspección C.U (26) Visitas Técnicas por la comisión de Infraccion</v>
          </cell>
        </row>
        <row r="43">
          <cell r="AA43" t="str">
            <v>En el 1er trimestre se realizaron 66 visitas de control de obras tanto pequeñas como grandes. Segundo trimestre 17 visitas de acuerdo a cronograma de trabajo e información suministrada por las respectivas curadurias. En el 3er Trimestre 14 Inspección Cont</v>
          </cell>
        </row>
        <row r="44">
          <cell r="AA44" t="str">
            <v>Se llevo a cabo la socialización del informe con la comision de veedurias ciudadanas, correspondiente a visitas de control y vigilancia a licencias de construcción.</v>
          </cell>
        </row>
        <row r="45">
          <cell r="AA45" t="str">
            <v>En el proceso de control y vigilancia a las Licencias otorgadas, se logró determinar que de acuerdo a las visitas de oficio, estas cumplieron tecnicamente con lo licenciado según las resoluciones emitadas por las respectivas curadurias</v>
          </cell>
        </row>
        <row r="46">
          <cell r="AA46" t="str">
            <v>Entrega de documentacion para  archivo de los oficios que han sido recibidos por los peticionarios en las diferntes solicitudes en el proceso 3.de control urbano  en conformidad con la ley de archivo.</v>
          </cell>
        </row>
        <row r="47">
          <cell r="AA47" t="str">
            <v>Se llevó a cabo el proceso contractual DAJ-CM-003-2021 para realizar consultoría con objeto: "Estudios y acompañamiento especializado orientado a la modificación excepcional de normal urbanísticas del plan de ordenamiento territorial del municipio de Arme</v>
          </cell>
        </row>
        <row r="48">
          <cell r="AA48" t="str">
            <v>En el proceso de control a Constructoras, se ha observado incumplimiento por parte de:  6 constructoras a las cuales se les abrió los procesos: 001-003-004-005-006-007 de 2021. Se han intervenido dos Constructoras conforme al Decreto 357/2020.</v>
          </cell>
        </row>
        <row r="49">
          <cell r="AA49" t="str">
            <v>Para el diagnostico de PEV en el primer trimestre se establecio como ruta cuatro lineas.  1- Datos Generales, 2-Tecnica de recolección de información, 3- Consolidación del Documento. 4- Difusión y socialización), se ha realizado la estructuración de los d</v>
          </cell>
        </row>
        <row r="50">
          <cell r="AA50" t="str">
            <v>En el primer trimestre se realizó comparativo entre el Decreto 063 de 2013 y el Manual de Publicidad Exterior Visual propuesto; evidenciando asi vacios frente al tema de la variedad de publicidad exterior instalada en el muncipio la cual no se encuentra r</v>
          </cell>
        </row>
        <row r="51">
          <cell r="AA51" t="str">
            <v>Se cuenta con todos los soportes documentales de la revisión y ajuste del proceso de armonización y normatividad vigente sobre el tema de PEV, se ha enfocado en sensibilización a los comeciantes encuanto a Avisos y Tableros. (información soportada en arch</v>
          </cell>
        </row>
        <row r="52">
          <cell r="AA52" t="str">
            <v>Se viene dando cumplimiento con el proceso de gestión documental  generada en el presente año, se encuentra debidamente archivada, dando cumplimiento a la Ley General de Archivo y Tablas de Retención Documental vigentes. Pendiente para entrega al archivo </v>
          </cell>
        </row>
        <row r="53">
          <cell r="AA53" t="str">
            <v>en el 1er trimestre se genero documento relacionado con la comparacion de las normas el cual se sometera a revision por el equipo juridico. En el 2do trimestre el proceso se encuentra a la espera de realizar reunion con la EDUA debido a que se expidio el </v>
          </cell>
        </row>
        <row r="54">
          <cell r="AA54" t="str">
            <v>Se tiene toda la documentación generada debidamente archivada, en cumplimiento a la Ley General de Archivo y Tablas de Retención Documental del proceso de AEEP.  </v>
          </cell>
        </row>
        <row r="55">
          <cell r="AA55" t="str">
            <v>Primer trimestre se efectuo la revision del manual de arbol urbano enfocado hacia las normas y politicas relacionadas con la publicidad exterior visual, frente a la planificaución, el orden y el desarrollo ornamental del Municipio de Armenia.-  En el segu</v>
          </cell>
        </row>
        <row r="56">
          <cell r="AA56" t="str">
            <v>Se han realizado acciones con la caracterización del proceso, analisis del instructivo para la reglamentación del proceso de areas de cesión a fin de elaborar la respectiva ruta.</v>
          </cell>
        </row>
        <row r="57">
          <cell r="AA57" t="str">
            <v>No se registran acciones </v>
          </cell>
        </row>
        <row r="58">
          <cell r="AA58" t="str">
            <v>Se han identificado los actores prioritarios para explorar, analizar y replantear los problemas urbanos, los cuales estan dados por los siguientes: CAMACOL. SOCIEDAD DE ARQUITECTOS, ACADEMIA, CAMARA DE COMERCIO, FORO DE GEERENTES, con los cuales se han re</v>
          </cell>
        </row>
        <row r="59">
          <cell r="AA59" t="str">
            <v>Se realizó una reunión con CAMACOL y se hizo parte del Foro Económico Sectorial, Construimos la activación de las regiones, en el cual el alcalde y el director de planeación presentaron 5 estrategias de que se quiere hacer con el ordenamiento territorial </v>
          </cell>
        </row>
        <row r="60">
          <cell r="AA60" t="str">
            <v>Desde el Sisben, se brindó acompañamiento en jornadas de sensibilización sobre la nueva metodología del Sisben IV con las comunidades en las diferentes comunas de la Ciudad. Entre ellas este primer trimestre se  realizaron en:
• La Plaza De Bolívar.
• En </v>
          </cell>
        </row>
        <row r="61">
          <cell r="AA61" t="str">
            <v>Frente a este proyecto se ha iniciado el proceso de Archivo, toda vez que la información es nueva para este periodo.</v>
          </cell>
        </row>
        <row r="62">
          <cell r="AA62" t="str">
            <v>Se llevó a cabo el proceso contractual DAJ-CM-003-2021 para realizar consultoría con objeto: "Estudios y acompañamiento especializado orientado a la modificación excepcional de normal urbanísticas del plan de ordenamiento territorial del municipio de Arme</v>
          </cell>
        </row>
        <row r="63">
          <cell r="AA63" t="str">
            <v>Se realiza por demanda de acuerdo a la Resolución No.748/2021 de la CRQ.  A la fecha no se ha  radicado nintuna solicitud.</v>
          </cell>
        </row>
        <row r="64">
          <cell r="AA64" t="str">
            <v>Se lleva  a cabo una vez se recepcionen documentos para efectuar el análisis.</v>
          </cell>
        </row>
        <row r="65">
          <cell r="AA65" t="str">
            <v>Se han realizado 9 mesas de trabajo con el Ministerio de Vivienda Ciudad y Territorio, se aprobo acoger la GUIA METODOLOGICA  realizada por la Dirección de Espacio Urbano y Territorial del MINVIVIENDA y la aprobación del Plan de Trabajo. Se está compiland</v>
          </cell>
        </row>
        <row r="66">
          <cell r="AA66" t="str">
            <v>En esta actividad se realiza la consolidación de toda la información relacionada con el Plan de Ordenamiento Territorial del municipio, los documentos que lo conforman, así como los estudios, planes y demás información alusiva a la planeación física y soc</v>
          </cell>
        </row>
        <row r="67">
          <cell r="AA67" t="str">
            <v>Se desarrolla parte de  la lectura operativa y selectiva del Plan de Ordenamiento Territorial del municipio de Armenia, a traves del analisis de suficiencia tecnica del documento,  soportado en la matriz denominada "Mapa conceptual", misma que se encuentr</v>
          </cell>
        </row>
        <row r="68">
          <cell r="AA68" t="str">
            <v>Se avanza en un 70% en el desarrollo de la matriz denominada  "Articulación de fines y medios", en la cual se realizá el respectivo analisis de programas y proyectos establecidos en el Plan de Ordenamiento, segun la visión territorial del mismo, en el cor</v>
          </cell>
        </row>
        <row r="69">
          <cell r="AA69" t="str">
            <v>No se reportan acciones durante el trimestre, dado que se requiere finalizar las etapas anteriores para contar con la información requerida para el desarrollo de la misma.</v>
          </cell>
        </row>
        <row r="70">
          <cell r="AA70" t="str">
            <v>No se registran acciones durante el trimestre, dado que se requiere finalizar las etapas anteriores para contar con la información requerida para el desarrollo de la misma.</v>
          </cell>
        </row>
        <row r="71">
          <cell r="AA71" t="str">
            <v>Se realizarón mesas de trabajo virtuales con el  Ministerio de Vivienda Ciudad y Terriotrio durante el desarrollo de la matriz de "Articulación de fines y medios", con el objetivo de realizar desde esta etapa parte del seguimiento y evaluación a la ejecuc</v>
          </cell>
        </row>
        <row r="72">
          <cell r="AA72" t="str">
            <v>No se registran acciones durante el trimestre, dado que se requiere finalizar las etapas anteriores para contar con la información requerida para el desarrollo de la misma.</v>
          </cell>
        </row>
        <row r="73">
          <cell r="AA73" t="str">
            <v>Se desarrolla Análisis de suficiencia (Matriz mapa conceptual POT) a traves de  la lectura operativa  y selectiva del POT, realizando seguimiento y evaluación de lo propuesto en los planos, en las normas generales y complementarias en lo relativo al compo</v>
          </cell>
        </row>
        <row r="74">
          <cell r="AA74" t="str">
            <v>No se reportan acciones durante el trimestre</v>
          </cell>
        </row>
        <row r="75">
          <cell r="AA75" t="str">
            <v>Se realiza archivo digital de la información consolidada y ejecutada en el trimestre relacionada al archivo tecnico historico, igualmente la matriz de mapa conceptual y el avance del documento de seguimiento y evaluación al Plan de Ordenamiento Territoria</v>
          </cell>
        </row>
        <row r="76">
          <cell r="AA76" t="str">
            <v>Esta actividad esta ligada al desarrollo y ejecución de la Consultoria. /// Se recibio prediagnostico el cual se encuentra en revisión.</v>
          </cell>
        </row>
        <row r="77">
          <cell r="AA77" t="str">
            <v>Se llevó a cabo el proceso contractual DAJ-CM-003-2021 para realizar consultoría con objeto: "Estudios y acompañamiento especializado orientado a la modificación excepcional de normal urbanísticas del plan de ordenamiento territorial del municipio de Arme</v>
          </cell>
        </row>
        <row r="78">
          <cell r="AA78" t="str">
            <v>Se llevó a cabo el proceso contractual DAJ-CM-003-2021 para realizar consultoría con objeto: "Estudios y acompañamiento especializado orientado a la modificación excepcional de normal urbanísticas del plan de ordenamiento territorial del municipio de Arme</v>
          </cell>
        </row>
        <row r="79">
          <cell r="AA79" t="str">
            <v>Esta actividad esta ligada al desarrollo y ejecución de la Consultoria./// Se recibio prediagnostico el cual se encuentra en revisión.</v>
          </cell>
        </row>
        <row r="80">
          <cell r="AA80" t="str">
            <v>Se llevó a cabo el proceso contractual DAJ-CM-003-2021 para realizar consultoría con objeto: "Estudios y acompañamiento especializado orientado a la modificación escepcional de normal urbanisticas del plan de ordenamiento territorial del municipio de Arme</v>
          </cell>
        </row>
        <row r="81">
          <cell r="AA81" t="str">
            <v>Se llevó a cabo el proceso contractual DAJ-CM-003-2021 para realizar consultoría con objeto: "Estudios y acompañamiento especializado orientado a la modificación excepcional de normal urbanísticas del plan de ordenamiento territorial del municipio de Arme</v>
          </cell>
        </row>
        <row r="82">
          <cell r="AA82" t="str">
            <v>Se realizó Matriz Prediagnostico en formato Excel que contiene documentación cartográfica y norma POZ. Se actualizó la cartografía en formato KML de los sistemas Vial, Espacio Público y equipamientos con el equipo SIG de la Alcaldia Municipal.  Se analizó</v>
          </cell>
        </row>
        <row r="83">
          <cell r="AA83" t="str">
            <v>A partir del equipo conformado para la reglamentacion del plan de ordenamiento zonal de la avenida centenario, se desarrolló los diferentes contenidos minimos para Planificación intermedia establecidos para el municipio de Armenia, a traves del Acuerdo 01</v>
          </cell>
        </row>
        <row r="84">
          <cell r="AA84" t="str">
            <v>Esta actividad esta ligada al desarrollo y ejecución de la Consultoria.</v>
          </cell>
        </row>
        <row r="85">
          <cell r="AA85" t="str">
            <v>De acuerdo a los contenidos minimos para planificacion intermedia establecidos en el acuerdo 019/2009, se viene estructurando el documento tecnico de soporte por cada uno de los sistemas estructurantes del territorio, con el fin de cumplir con la vision t</v>
          </cell>
        </row>
        <row r="86">
          <cell r="AA86" t="str">
            <v>Para la divulgación del documento se realizó la identificacion de los actores intervnientes en el proceso, los cuales han sido participes de la construcción de los documentos técnicos y reglamentación de la pieza de planificación intermedia, plan zonal av</v>
          </cell>
        </row>
        <row r="87">
          <cell r="AA87" t="str">
            <v>Se surtió el proceso de estudio de la necesidad y la expedición del respectivo CDP por valor de $71.977.320, se remitió a la Secretaría de Infraestructura quien realizó Estudios Previos, Anexo Técnico, Glosario, Matriz Riesgo y Presupuesto. Se efectuó avi</v>
          </cell>
        </row>
        <row r="88">
          <cell r="AA88" t="str">
            <v>Se desarrollaron diferentes reuniones orientadas a la etapa preliminar a la convocatoria de los actores, que se efectuó en mayo de 2021 (No. Actas 6 Comité Principal de Bienestar Animal). Para la elaboración del documento de Política Pública se planteo po</v>
          </cell>
        </row>
        <row r="89">
          <cell r="AA89" t="str">
            <v>El 23 de Septiembre se eléboro circular número 030 enviada asesores de despacho, secretarios de despachos, directores de departamento  administrativos, gerentes de las entidades descentralizadas y sus respectivos enlaces donde se solicita el seguimiento d</v>
          </cell>
        </row>
        <row r="90">
          <cell r="AA90" t="str">
            <v>Actualmente el ingeniero de sistemas asignado para esta actividad se encuentra en la construcción del aplicativo de tablero de control 75%</v>
          </cell>
        </row>
        <row r="91">
          <cell r="AA91" t="str">
            <v>Se informa que para el periodo correspondiente de Julio a Octubre dicha accion se encuentra ejecutada en el 100%.</v>
          </cell>
        </row>
        <row r="92">
          <cell r="AA92" t="str">
            <v>se realiza en cuestion de la elaboración del POAI, el 3 de septiembre del 2021 mediante oficio dp-pde-615 se solicitó a todas las dependencias  que manejan presupuesto de inversión realizar la distribución del techo presupuestal asignado para la vigencia </v>
          </cell>
        </row>
        <row r="93">
          <cell r="AA93" t="str">
            <v>En reunión de Consejo de gobierno se presentó ante el Alcalde el corte al segundo trimestre el día 11 de agosto autorizando la publicación del informe consolidado y del informe de cada uno de las dependencias y entidades con corte trimestral, de igual man</v>
          </cell>
        </row>
        <row r="94">
          <cell r="AA94" t="str">
            <v>En cuanto al plan Indicativo vs SIEE (Sistema de Información y Evaluación de la Eficacia) se hace necesario resaltar que para este tercer trimestre se llevó a cabo la inclusión de la información en el aplicativo KPT del Departamento Nacional de Planeación</v>
          </cell>
        </row>
        <row r="95">
          <cell r="AA95" t="str">
            <v>Teniendo en cuenta la Mesa técnica de transparencia realizada el 28 de junio de 2021 se inicia el trimestre conversión dos del Plan anticorrupción atención al ciudadano de igual manera atendiendo los lineamientos del departamento administrativo de la func</v>
          </cell>
        </row>
        <row r="96">
          <cell r="AA96" t="str">
            <v>Atendiendo los lineamientos del departamento administrativo de la función pública mediante el plan de gestión territorial el día 24 de agosto es aprobado el plan de medios para la divulgación de la ficha básica municipal volviéndose  a hacer  un segundo p</v>
          </cell>
        </row>
        <row r="97">
          <cell r="AA97" t="str">
            <v>Se cumplio con las fechas determinadas por la Contraloria General de la Republica para la rendición de cuentas en el aplicativo SIRECI, proceso terminado el día 03 de octubrel, según prorroga nacional, de igual manera el DAPM participo en la elaboración d</v>
          </cell>
        </row>
        <row r="98">
          <cell r="AA98" t="str">
            <v>A la fecha se encuentran formulando proyectos en aras de presentarlos ante los diferentes ministerios con el fin de obtener recursos para su financiamiento</v>
          </cell>
        </row>
        <row r="99">
          <cell r="AA99" t="str">
            <v>En cuanto al seguimiento a los proyectos de inversión, se ha realizado  en la plataforma SPI del DNP, se ha brindado capacitación a todas las dependencias para realizar este seguimiento de forma acumulativa cada mes, así mismo las dependencias que han req</v>
          </cell>
        </row>
        <row r="100">
          <cell r="AA100" t="str">
            <v> Banco de Programas y Proyectos de la Alcaldía Municipal hace parte de un gran Sistema de Seguimiento Institucional  de  funcionamiento, de  seguimiento y control por lo cual se establecio la compra   mismo     El Banco de Programas y proyectos de Inversi</v>
          </cell>
        </row>
        <row r="101">
          <cell r="AA101" t="str">
            <v>se informa que a la fecha se tienen 3 tramites en proceso de politica de racionalización los cuales son: 1. impuesto predial certificado: que a la fecha se puede realizar el pago en linea, 2. impuesto de industria y comercio: recibo se puede descargar de </v>
          </cell>
        </row>
        <row r="102">
          <cell r="AA102" t="str">
            <v>Se actualizó permanentemente la página web, se implementó el módulo del sistema de riesgos de la alcaldía seguir ubicado en la parte inferior del sistema del plan anticorrupción y atención al ciudadano. de igual manera también se modificó el modo de prese</v>
          </cell>
        </row>
        <row r="103">
          <cell r="AA103" t="str">
            <v>De acuerdo a la información aportada en el punto relacionado con el Plan Indicativo, se tiene que por ser un complemento de la misma, la información relacionada a este item, ya se encuentra explicado en el item enunciado con anterioridad (60%)</v>
          </cell>
        </row>
        <row r="104">
          <cell r="AA104" t="str">
            <v>En el ejercicio de la Secretaría técnica del Comité institucional de gestiones desempeño se llevaron a cabo el comité el día 6 de agosto y el 21 de septiembre, con todas las dependencias,  proceso en la página web http://planeacionarmenia.gov.co/; el Comi</v>
          </cell>
        </row>
        <row r="105">
          <cell r="AA105" t="str">
            <v>En el Comité institucional de gestión y desempeño realizado el 21 de septiembre se verificó el seguimiento al plan de gestión territorial formulado con las recomendaciones resultantes de la calificación del reporte en el aplicativo FURAG el seguimiento qu</v>
          </cell>
        </row>
        <row r="106">
          <cell r="AA106" t="str">
            <v>Se ejerció el derecho de contradicción respecto a información rendida en la rendición electrónica de cuentas en el CIA   mediante oficio del día 029 de julio remitido a la Contraloría municipal en el subcomité de infancia realizado el 20 de septiembre, se</v>
          </cell>
        </row>
        <row r="107">
          <cell r="AA107" t="str">
            <v>Se implemento la  administración de la PAGINA WEB planeación@armenia.gov.co  en Cumplimiento de la 1174 de 2011 y 1712 de 2014,  con la Compilación de Información, Migración  Rutinas de reportes destacandose la publicación de todos los documentos relzacio</v>
          </cell>
        </row>
        <row r="108">
          <cell r="AA108" t="str">
            <v>Actualmete se presta apoyo a la organización y logistica del congreso Nacional del Sistema de planeación 2021, el cual sera realizado para el mes de Noviembre. 75%</v>
          </cell>
        </row>
        <row r="109">
          <cell r="AA109" t="str">
            <v>para el mes de Agosto se realiza la conformación del concejo municipal de participación ciudadana, se solicita agenta al Alcalde para la realizacion de la primera sesion de participacion ciudadana. (20%)</v>
          </cell>
        </row>
        <row r="110">
          <cell r="AA110" t="str">
            <v>se realiza actualmente asistencia técnica  y metodologica al Comité de Desarrollo Local Particiaptivo CODELPA Directivo y Opertaivo según acuerdo del 01 del 2011 </v>
          </cell>
        </row>
        <row r="111">
          <cell r="AA111" t="str">
            <v>actualmente se esta realizando la organización de fichas presupuestales para presupuesto participativo vigencia 2022</v>
          </cell>
        </row>
        <row r="112">
          <cell r="AA112" t="str">
            <v>En el SIG se han recibido 2761 solicitudes, a las cuales se les dio el trámite respectivo.  - El reporte reposa en el archivo excel de control de solicitudes en el drive del correo publicacioncartografica@armenia.gov.co .</v>
          </cell>
        </row>
        <row r="113">
          <cell r="AA113" t="str">
            <v>A 30 de septiembre se han realizado 17,782, superando la meta programada para la vigencia 2021, pues con la implmentación SisbenApp y la metodología sisben IV ha permitido agilizar el proceso por su automatización. (Soporte informe en archivo Word y Excel</v>
          </cell>
        </row>
        <row r="114">
          <cell r="AA114" t="str">
            <v>Con la implementacion del aplicativo SisbenApp  nos ha permitido atender oportunamente todas las modificaciones de fichas solicitadas.</v>
          </cell>
        </row>
        <row r="115">
          <cell r="AA115" t="str">
            <v>Se ha cumplido con la presentación de tres informes de manera mensualizada, correspondiente a los meses de enero,febrero, marzo, abril, mayo y junio,julio,agosto y septiembre, contentivo de la totalidad de novedades y actividades desarrolladas en Sisben. </v>
          </cell>
        </row>
        <row r="116">
          <cell r="AA116" t="str">
            <v>Solo se ha requerido por parte de la Secretaría Muncipal de Salud Base de Datos  mediante  comunicación SS-PSS-SS-313 del 21/06/2021. Dandose respuesta y suministrando la BD en DP-POT-5048 del 25/06/2021 </v>
          </cell>
        </row>
        <row r="117">
          <cell r="AA117" t="str">
            <v>Se ha llevado a cabo continuamente a traves del Aplicativo SisbenApp, con una periodicidad mínimo cada 2 maximo cada 3 días, es decir en un promedio de 25 actualizaciones mensuales, lo cual se puede evidenciar en los listados de envios y las copias de seg</v>
          </cell>
        </row>
        <row r="118">
          <cell r="AA118" t="str">
            <v>Se han efectuado 78 visitas a predios habitacionales del Municipio de Armenia </v>
          </cell>
        </row>
        <row r="119">
          <cell r="AA119" t="str">
            <v>Se han proyectaron (35) resoluciones de asignación de estrato socioeconomico a predios habitacionales del municipio de Armenia </v>
          </cell>
        </row>
        <row r="120">
          <cell r="AA120" t="str">
            <v>En la actualidad el Municipio se encuentra en el estado de segunda etapa a esperas de las observaciones emitidas por el DANE (Según informe presentado por la contratista). </v>
          </cell>
        </row>
        <row r="121">
          <cell r="AA121" t="str">
            <v>Se han efectuado 78 visitas a predios habitacionales del Municipio, allí se divulgó acerca de proyecto de actualización en la metodologia de estratificación socioeconomica</v>
          </cell>
        </row>
        <row r="122">
          <cell r="AA122" t="str">
            <v>Se han expidido 246 certificados de estratificación socioeconómica</v>
          </cell>
        </row>
        <row r="123">
          <cell r="AA123" t="str">
            <v>Se efectuó el ajuste y la actualización de la base de datos de los predios habitacionales del Municipio, organizados y clasificados en siete sectores para facilitar su consulta, control y respuesta oportuna, (total 123.406 predios)</v>
          </cell>
        </row>
        <row r="124">
          <cell r="AA124" t="str">
            <v>Se apoyó en temas logisticos y administrativos al CPE en sesión desarrollada el 8 de marzo de 2021, acompañamiento a 58 visitas por reclamaciones, se gestionó el pago de honorarios a integrantes representantes de la comunidad para la vigencia 2.021, se ap</v>
          </cell>
        </row>
        <row r="125">
          <cell r="AA125" t="str">
            <v>Se han recopilado bajo los lineamientos y requisitos del orden municipal, departamental y nacional de los siguientes proyectos
1. Construcción Tramo 1 y Tramo 3 del Malecón de la Secreta en el municipio de Armenia, Quindío (SGR)
2. Mejoramiento y rehabili</v>
          </cell>
        </row>
        <row r="126">
          <cell r="AA126" t="str">
            <v>Se formularon los siguientes proyectos bajo la metodología MGA en la cual se emplearon los lineamientos generales, metodológicos, técnicos sectoriales del Sistema General de Regalías.
1. Construcción Tramo 1 y Tramo 3 del Malecón de la Secreta en el munic</v>
          </cell>
        </row>
        <row r="127">
          <cell r="AA127" t="str">
            <v>Se recibieron  y fueron remitidas por la Subdirección del DAPM a la Inspeccion Octava (48),  Inspección Control Urbano (61) Visitas Técnicas, y en el análisis se pudo observar la comisión de Infracciones Urbanisticas, procediendo a dar inicio al respectiv</v>
          </cell>
        </row>
        <row r="128">
          <cell r="AA128" t="str">
            <v>Se aperturaron 117 procesos, correspondientes a las visitas tecnicas que fueron analizadas por las Inspecciones (48-8va y C-69).</v>
          </cell>
        </row>
        <row r="129">
          <cell r="AA129" t="str">
            <v>Se realizaron a los infractores las notificaciones del auto de investigación. (41-8a - C-39)= Total 80 -----(INSP.8VA- 38 INCLUYENDO LAS 26 -  008-2021, 181-2019, 019-2021,018-2021,025-2021,-379-2018,092-2019, 026-2021, 012-2021,015-2020,036-2020, 010-202</v>
          </cell>
        </row>
        <row r="130">
          <cell r="AA130" t="str">
            <v>De los procesos aperturados se recibieron en audiencia pública en las Inspecciones, descargos en 31 procesos. (INSP.8VA -012-2021, 020-2020, 013-2020, 010-2020, 047-2020, 019-2021, 008-2021,025-2021, 032-2021,033-2021,034-2021, 036-2021, 037-2021, 289-201</v>
          </cell>
        </row>
        <row r="131">
          <cell r="AA131" t="str">
            <v>De conformidad con la normatividad vigente, se encuentran en terminos para solicitar pruebas de acuerdo a la Ley 1801/2016.  y a la fecha se han emitido por parte de la Inspección de Control Urbano 76 actos administrativos ordenando la practica de pruebas</v>
          </cell>
        </row>
        <row r="132">
          <cell r="AA132" t="str">
            <v>En las Inspecciónes se profirieron 51 resoluciones en los procesos. (INSP.8VA- 4: Sanciones 181-2019, Archivo 026-2021,092-2019,379-2018). (INSP.C.U- 47 resoluciones desde la resolución 64 a 106.                                                            </v>
          </cell>
        </row>
        <row r="133">
          <cell r="AA133" t="str">
            <v>Se realizaron a los procesos aperturados, las notificaciones del auto de investigación. </v>
          </cell>
        </row>
        <row r="134">
          <cell r="AA134" t="str">
            <v>Se remitieron desde la Inspección de Control Urbano 11 resoluciones. (INSP.C.U.-se remitieron 2 resoluciones sanción a la secretaria de infraestructura, las numeros 059 y 069 de 2021 y 2 resoluciones sanción a la secretaria de Hacienda, las 059 y 069 de 2</v>
          </cell>
        </row>
        <row r="135">
          <cell r="AA135" t="str">
            <v>Se ha realizado la entrega  del archivo, cumpliendo los parametros que se requieren en los procesos llevados por las Inspecciónes</v>
          </cell>
        </row>
        <row r="136">
          <cell r="AA136" t="str">
            <v>Se realizó  reunion del Comité Técnico que orientará la Formulación de la Politica Pública, donde se trataron las directrices prioritarias en la cual se soportaran los lineamientos de Política Pública. El 16-09-2021 se efectuó presentación con el ingenier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D151"/>
  <sheetViews>
    <sheetView showGridLines="0" tabSelected="1" zoomScalePageLayoutView="0" workbookViewId="0" topLeftCell="N1">
      <selection activeCell="T14" sqref="T14:T17"/>
    </sheetView>
  </sheetViews>
  <sheetFormatPr defaultColWidth="11.421875" defaultRowHeight="12.75"/>
  <cols>
    <col min="1" max="1" width="26.57421875" style="4" customWidth="1"/>
    <col min="2" max="2" width="27.421875" style="4" customWidth="1"/>
    <col min="3" max="3" width="19.421875" style="4" customWidth="1"/>
    <col min="4" max="4" width="38.57421875" style="4" customWidth="1"/>
    <col min="5" max="5" width="12.57421875" style="4" customWidth="1"/>
    <col min="6" max="6" width="15.57421875" style="4" customWidth="1"/>
    <col min="7" max="7" width="22.57421875" style="7" customWidth="1"/>
    <col min="8" max="8" width="27.00390625" style="4" customWidth="1"/>
    <col min="9" max="9" width="25.57421875" style="4" customWidth="1"/>
    <col min="10" max="11" width="15.57421875" style="4" customWidth="1"/>
    <col min="12" max="12" width="18.421875" style="4" customWidth="1"/>
    <col min="13" max="13" width="18.140625" style="4" customWidth="1"/>
    <col min="14" max="14" width="26.8515625" style="5" customWidth="1"/>
    <col min="15" max="15" width="49.28125" style="5" customWidth="1"/>
    <col min="16" max="16" width="16.57421875" style="5" customWidth="1"/>
    <col min="17" max="18" width="25.00390625" style="5" customWidth="1"/>
    <col min="19" max="19" width="30.8515625" style="5" customWidth="1"/>
    <col min="20" max="20" width="29.140625" style="5" customWidth="1"/>
    <col min="21" max="21" width="28.421875" style="5" customWidth="1"/>
    <col min="22" max="22" width="27.8515625" style="29" customWidth="1"/>
    <col min="23" max="26" width="22.57421875" style="29" customWidth="1"/>
    <col min="27" max="27" width="63.57421875" style="29" customWidth="1"/>
    <col min="28" max="28" width="27.7109375" style="4" customWidth="1"/>
    <col min="29" max="29" width="21.00390625" style="2" customWidth="1"/>
    <col min="30" max="30" width="30.57421875" style="2" customWidth="1"/>
    <col min="31" max="16384" width="11.421875" style="2" customWidth="1"/>
  </cols>
  <sheetData>
    <row r="1" spans="1:28" ht="22.5" customHeight="1">
      <c r="A1" s="275"/>
      <c r="B1" s="276"/>
      <c r="C1" s="342" t="s">
        <v>314</v>
      </c>
      <c r="D1" s="343"/>
      <c r="E1" s="343"/>
      <c r="F1" s="343"/>
      <c r="G1" s="343"/>
      <c r="H1" s="343"/>
      <c r="I1" s="343"/>
      <c r="J1" s="343"/>
      <c r="K1" s="343"/>
      <c r="L1" s="343"/>
      <c r="M1" s="343"/>
      <c r="N1" s="343"/>
      <c r="O1" s="343"/>
      <c r="P1" s="343"/>
      <c r="Q1" s="343"/>
      <c r="R1" s="343"/>
      <c r="S1" s="343"/>
      <c r="T1" s="343"/>
      <c r="U1" s="343"/>
      <c r="V1" s="343"/>
      <c r="W1" s="343"/>
      <c r="X1" s="343"/>
      <c r="Y1" s="343"/>
      <c r="Z1" s="343"/>
      <c r="AA1" s="344"/>
      <c r="AB1" s="72" t="s">
        <v>315</v>
      </c>
    </row>
    <row r="2" spans="1:28" ht="25.5" customHeight="1">
      <c r="A2" s="277"/>
      <c r="B2" s="278"/>
      <c r="C2" s="74"/>
      <c r="D2" s="75"/>
      <c r="E2" s="75"/>
      <c r="F2" s="75"/>
      <c r="G2" s="75"/>
      <c r="H2" s="75"/>
      <c r="I2" s="75"/>
      <c r="J2" s="75"/>
      <c r="K2" s="75"/>
      <c r="L2" s="75"/>
      <c r="M2" s="75"/>
      <c r="N2" s="75"/>
      <c r="O2" s="75"/>
      <c r="P2" s="75"/>
      <c r="Q2" s="75"/>
      <c r="R2" s="75"/>
      <c r="S2" s="76"/>
      <c r="T2" s="75"/>
      <c r="U2" s="75"/>
      <c r="V2" s="75"/>
      <c r="W2" s="75"/>
      <c r="X2" s="76"/>
      <c r="Y2" s="75"/>
      <c r="Z2" s="75"/>
      <c r="AA2" s="77"/>
      <c r="AB2" s="78" t="s">
        <v>316</v>
      </c>
    </row>
    <row r="3" spans="1:28" ht="20.25" customHeight="1">
      <c r="A3" s="277"/>
      <c r="B3" s="278"/>
      <c r="C3" s="345" t="s">
        <v>2</v>
      </c>
      <c r="D3" s="346"/>
      <c r="E3" s="346"/>
      <c r="F3" s="346"/>
      <c r="G3" s="346"/>
      <c r="H3" s="346"/>
      <c r="I3" s="346"/>
      <c r="J3" s="346"/>
      <c r="K3" s="346"/>
      <c r="L3" s="346"/>
      <c r="M3" s="346"/>
      <c r="N3" s="346"/>
      <c r="O3" s="346"/>
      <c r="P3" s="346"/>
      <c r="Q3" s="346"/>
      <c r="R3" s="346"/>
      <c r="S3" s="346"/>
      <c r="T3" s="346"/>
      <c r="U3" s="346"/>
      <c r="V3" s="346"/>
      <c r="W3" s="346"/>
      <c r="X3" s="346"/>
      <c r="Y3" s="346"/>
      <c r="Z3" s="346"/>
      <c r="AA3" s="347"/>
      <c r="AB3" s="78" t="s">
        <v>317</v>
      </c>
    </row>
    <row r="4" spans="1:28" ht="27.75" customHeight="1" thickBot="1">
      <c r="A4" s="279"/>
      <c r="B4" s="280"/>
      <c r="C4" s="348" t="s">
        <v>3</v>
      </c>
      <c r="D4" s="349"/>
      <c r="E4" s="349"/>
      <c r="F4" s="349"/>
      <c r="G4" s="349"/>
      <c r="H4" s="349"/>
      <c r="I4" s="349"/>
      <c r="J4" s="349"/>
      <c r="K4" s="349"/>
      <c r="L4" s="349"/>
      <c r="M4" s="349"/>
      <c r="N4" s="349"/>
      <c r="O4" s="349"/>
      <c r="P4" s="349"/>
      <c r="Q4" s="349"/>
      <c r="R4" s="349"/>
      <c r="S4" s="349"/>
      <c r="T4" s="349"/>
      <c r="U4" s="349"/>
      <c r="V4" s="349"/>
      <c r="W4" s="349"/>
      <c r="X4" s="349"/>
      <c r="Y4" s="349"/>
      <c r="Z4" s="349"/>
      <c r="AA4" s="350"/>
      <c r="AB4" s="79" t="s">
        <v>5</v>
      </c>
    </row>
    <row r="5" spans="1:28" ht="20.25" customHeight="1" thickBot="1">
      <c r="A5" s="351" t="s">
        <v>318</v>
      </c>
      <c r="B5" s="352"/>
      <c r="C5" s="352"/>
      <c r="D5" s="352"/>
      <c r="E5" s="352"/>
      <c r="F5" s="352"/>
      <c r="G5" s="353"/>
      <c r="H5" s="354" t="s">
        <v>409</v>
      </c>
      <c r="I5" s="354"/>
      <c r="J5" s="354"/>
      <c r="K5" s="354"/>
      <c r="L5" s="354"/>
      <c r="M5" s="354"/>
      <c r="N5" s="328"/>
      <c r="O5" s="329"/>
      <c r="P5" s="329"/>
      <c r="Q5" s="329"/>
      <c r="R5" s="329"/>
      <c r="S5" s="329"/>
      <c r="T5" s="329"/>
      <c r="U5" s="329"/>
      <c r="V5" s="329"/>
      <c r="W5" s="329"/>
      <c r="X5" s="329"/>
      <c r="Y5" s="329"/>
      <c r="Z5" s="329"/>
      <c r="AA5" s="329"/>
      <c r="AB5" s="330"/>
    </row>
    <row r="6" spans="1:28" ht="24" customHeight="1" thickBot="1">
      <c r="A6" s="331" t="s">
        <v>319</v>
      </c>
      <c r="B6" s="332"/>
      <c r="C6" s="332"/>
      <c r="D6" s="332"/>
      <c r="E6" s="332"/>
      <c r="F6" s="332"/>
      <c r="G6" s="332"/>
      <c r="H6" s="332"/>
      <c r="I6" s="332"/>
      <c r="J6" s="332"/>
      <c r="K6" s="80"/>
      <c r="L6" s="333" t="s">
        <v>320</v>
      </c>
      <c r="M6" s="281"/>
      <c r="N6" s="281"/>
      <c r="O6" s="281"/>
      <c r="P6" s="281"/>
      <c r="Q6" s="281"/>
      <c r="R6" s="281"/>
      <c r="S6" s="281"/>
      <c r="T6" s="281"/>
      <c r="U6" s="281"/>
      <c r="V6" s="281"/>
      <c r="W6" s="281"/>
      <c r="X6" s="281"/>
      <c r="Y6" s="281"/>
      <c r="Z6" s="281"/>
      <c r="AA6" s="281"/>
      <c r="AB6" s="282"/>
    </row>
    <row r="7" spans="1:28" s="84" customFormat="1" ht="9" customHeight="1" thickBot="1">
      <c r="A7" s="334"/>
      <c r="B7" s="334"/>
      <c r="C7" s="334"/>
      <c r="D7" s="334"/>
      <c r="E7" s="334"/>
      <c r="F7" s="334"/>
      <c r="G7" s="334"/>
      <c r="H7" s="3"/>
      <c r="I7" s="81"/>
      <c r="J7" s="81"/>
      <c r="K7" s="81"/>
      <c r="L7" s="81"/>
      <c r="M7" s="81"/>
      <c r="N7" s="81"/>
      <c r="O7" s="81"/>
      <c r="P7" s="81"/>
      <c r="Q7" s="81"/>
      <c r="R7" s="81"/>
      <c r="S7" s="82"/>
      <c r="T7" s="81"/>
      <c r="U7" s="81"/>
      <c r="V7" s="81"/>
      <c r="W7" s="81"/>
      <c r="X7" s="82"/>
      <c r="Y7" s="81"/>
      <c r="Z7" s="81"/>
      <c r="AA7" s="83"/>
      <c r="AB7" s="81"/>
    </row>
    <row r="8" spans="1:28" s="84" customFormat="1" ht="24" customHeight="1" thickBot="1">
      <c r="A8" s="283" t="s">
        <v>26</v>
      </c>
      <c r="B8" s="284"/>
      <c r="C8" s="284"/>
      <c r="D8" s="284"/>
      <c r="E8" s="284"/>
      <c r="F8" s="284"/>
      <c r="G8" s="284"/>
      <c r="H8" s="284"/>
      <c r="I8" s="284"/>
      <c r="J8" s="284"/>
      <c r="K8" s="284"/>
      <c r="L8" s="281" t="s">
        <v>13</v>
      </c>
      <c r="M8" s="281"/>
      <c r="N8" s="282"/>
      <c r="O8" s="333" t="s">
        <v>27</v>
      </c>
      <c r="P8" s="281"/>
      <c r="Q8" s="282"/>
      <c r="R8" s="333" t="s">
        <v>321</v>
      </c>
      <c r="S8" s="282"/>
      <c r="T8" s="333" t="s">
        <v>322</v>
      </c>
      <c r="U8" s="281"/>
      <c r="V8" s="281"/>
      <c r="W8" s="281"/>
      <c r="X8" s="282"/>
      <c r="Y8" s="333" t="s">
        <v>323</v>
      </c>
      <c r="Z8" s="281"/>
      <c r="AA8" s="85" t="s">
        <v>324</v>
      </c>
      <c r="AB8" s="86" t="s">
        <v>14</v>
      </c>
    </row>
    <row r="9" spans="1:28" s="91" customFormat="1" ht="37.5" customHeight="1" thickBot="1">
      <c r="A9" s="292" t="s">
        <v>15</v>
      </c>
      <c r="B9" s="292" t="s">
        <v>16</v>
      </c>
      <c r="C9" s="292" t="s">
        <v>17</v>
      </c>
      <c r="D9" s="289" t="s">
        <v>18</v>
      </c>
      <c r="E9" s="290"/>
      <c r="F9" s="291"/>
      <c r="G9" s="292" t="s">
        <v>19</v>
      </c>
      <c r="H9" s="292" t="s">
        <v>20</v>
      </c>
      <c r="I9" s="286" t="s">
        <v>325</v>
      </c>
      <c r="J9" s="287"/>
      <c r="K9" s="288"/>
      <c r="L9" s="87">
        <v>1</v>
      </c>
      <c r="M9" s="87">
        <v>2</v>
      </c>
      <c r="N9" s="87">
        <v>3</v>
      </c>
      <c r="O9" s="87">
        <v>4</v>
      </c>
      <c r="P9" s="87">
        <v>5</v>
      </c>
      <c r="Q9" s="87">
        <v>6</v>
      </c>
      <c r="R9" s="87">
        <v>7</v>
      </c>
      <c r="S9" s="88">
        <v>0.08</v>
      </c>
      <c r="T9" s="87">
        <v>9</v>
      </c>
      <c r="U9" s="87">
        <v>10</v>
      </c>
      <c r="V9" s="87">
        <v>11</v>
      </c>
      <c r="W9" s="87">
        <v>12</v>
      </c>
      <c r="X9" s="89">
        <v>13</v>
      </c>
      <c r="Y9" s="87">
        <v>14</v>
      </c>
      <c r="Z9" s="87">
        <v>15</v>
      </c>
      <c r="AA9" s="90">
        <v>16</v>
      </c>
      <c r="AB9" s="87">
        <v>17</v>
      </c>
    </row>
    <row r="10" spans="1:28" s="1" customFormat="1" ht="113.25" customHeight="1" thickBot="1">
      <c r="A10" s="335"/>
      <c r="B10" s="335"/>
      <c r="C10" s="335"/>
      <c r="D10" s="292" t="s">
        <v>21</v>
      </c>
      <c r="E10" s="292" t="s">
        <v>22</v>
      </c>
      <c r="F10" s="292" t="s">
        <v>23</v>
      </c>
      <c r="G10" s="335"/>
      <c r="H10" s="335"/>
      <c r="I10" s="292" t="s">
        <v>21</v>
      </c>
      <c r="J10" s="292" t="s">
        <v>24</v>
      </c>
      <c r="K10" s="292" t="s">
        <v>25</v>
      </c>
      <c r="L10" s="336" t="s">
        <v>4</v>
      </c>
      <c r="M10" s="336" t="s">
        <v>6</v>
      </c>
      <c r="N10" s="336" t="s">
        <v>7</v>
      </c>
      <c r="O10" s="336" t="s">
        <v>30</v>
      </c>
      <c r="P10" s="336" t="s">
        <v>29</v>
      </c>
      <c r="Q10" s="336" t="s">
        <v>28</v>
      </c>
      <c r="R10" s="338" t="s">
        <v>326</v>
      </c>
      <c r="S10" s="92" t="s">
        <v>334</v>
      </c>
      <c r="T10" s="340" t="s">
        <v>8</v>
      </c>
      <c r="U10" s="340" t="s">
        <v>1</v>
      </c>
      <c r="V10" s="340" t="s">
        <v>327</v>
      </c>
      <c r="W10" s="338" t="s">
        <v>328</v>
      </c>
      <c r="X10" s="92" t="s">
        <v>335</v>
      </c>
      <c r="Y10" s="338" t="s">
        <v>329</v>
      </c>
      <c r="Z10" s="338" t="s">
        <v>330</v>
      </c>
      <c r="AA10" s="355" t="s">
        <v>331</v>
      </c>
      <c r="AB10" s="336" t="s">
        <v>0</v>
      </c>
    </row>
    <row r="11" spans="1:28" s="1" customFormat="1" ht="55.5" customHeight="1" thickBot="1">
      <c r="A11" s="293"/>
      <c r="B11" s="293"/>
      <c r="C11" s="293"/>
      <c r="D11" s="293"/>
      <c r="E11" s="293"/>
      <c r="F11" s="293"/>
      <c r="G11" s="293"/>
      <c r="H11" s="293"/>
      <c r="I11" s="293"/>
      <c r="J11" s="293"/>
      <c r="K11" s="293"/>
      <c r="L11" s="337"/>
      <c r="M11" s="337"/>
      <c r="N11" s="337"/>
      <c r="O11" s="337"/>
      <c r="P11" s="337"/>
      <c r="Q11" s="337"/>
      <c r="R11" s="339"/>
      <c r="S11" s="93" t="s">
        <v>332</v>
      </c>
      <c r="T11" s="341"/>
      <c r="U11" s="341"/>
      <c r="V11" s="341"/>
      <c r="W11" s="339"/>
      <c r="X11" s="94" t="s">
        <v>333</v>
      </c>
      <c r="Y11" s="339"/>
      <c r="Z11" s="339"/>
      <c r="AA11" s="356"/>
      <c r="AB11" s="337"/>
    </row>
    <row r="12" spans="1:28" s="1" customFormat="1" ht="114.75" customHeight="1">
      <c r="A12" s="310" t="s">
        <v>168</v>
      </c>
      <c r="B12" s="303" t="s">
        <v>31</v>
      </c>
      <c r="C12" s="274">
        <v>13.15</v>
      </c>
      <c r="D12" s="274" t="s">
        <v>33</v>
      </c>
      <c r="E12" s="274">
        <v>0</v>
      </c>
      <c r="F12" s="274">
        <v>2</v>
      </c>
      <c r="G12" s="274" t="s">
        <v>167</v>
      </c>
      <c r="H12" s="274" t="s">
        <v>166</v>
      </c>
      <c r="I12" s="274" t="s">
        <v>264</v>
      </c>
      <c r="J12" s="295">
        <v>1</v>
      </c>
      <c r="K12" s="316">
        <v>1</v>
      </c>
      <c r="L12" s="285" t="s">
        <v>165</v>
      </c>
      <c r="M12" s="270" t="s">
        <v>102</v>
      </c>
      <c r="N12" s="270" t="s">
        <v>134</v>
      </c>
      <c r="O12" s="42" t="s">
        <v>276</v>
      </c>
      <c r="P12" s="36">
        <v>0</v>
      </c>
      <c r="Q12" s="36">
        <v>2</v>
      </c>
      <c r="R12" s="8">
        <v>2</v>
      </c>
      <c r="S12" s="114">
        <f>R12/Q12</f>
        <v>1</v>
      </c>
      <c r="T12" s="270" t="s">
        <v>355</v>
      </c>
      <c r="U12" s="270" t="s">
        <v>341</v>
      </c>
      <c r="V12" s="235">
        <f>50000000+578921180</f>
        <v>628921180</v>
      </c>
      <c r="W12" s="235">
        <f>50000000+50000000</f>
        <v>100000000</v>
      </c>
      <c r="X12" s="237">
        <f>W12/V12</f>
        <v>0.15900243652153676</v>
      </c>
      <c r="Y12" s="120" t="s">
        <v>370</v>
      </c>
      <c r="Z12" s="121" t="s">
        <v>371</v>
      </c>
      <c r="AA12" s="133" t="str">
        <f>'[1]PLAN DE ACCION'!AA12</f>
        <v>Se identificaron e incluyeron en el SIMAP  4 áreas corresponiente a las microcuencas (Cristales, La Florida, Hojas Anchas y Paugil), se realizó la actualizacion del decreto 140/2000,  se efectuó recopilación de datos informativos para identificar posibles predios nuevos, se realizó acercamiento con Sec. de Agricultura Gobernacion del Quindio y CRQ para asesoramiento.-, se están realizando las visitas tecnicas a 11 predios incluidos para la actualización de la base de datos. Seis Rurales y cinco urbanos. Se identificaron 14 predios: Patio Bonito, El Descanso, La Feliza, Villa Juliana, Finca La Colina, Casa 5, Chalet Villa Navarra, La Esmeralda, Finca El Venus, Chalet La Colina, Finca Villa Flor, La Cristalina y Villa Angeles,  Villa Fabilla, todos correspondientes a la vereda El Rin. Se llevo a cabo reunion con los propietarios el 09-09-2021, donde explico la importancia de las SIMAP, requisitos y beneficios. </v>
      </c>
      <c r="AB12" s="319" t="s">
        <v>101</v>
      </c>
    </row>
    <row r="13" spans="1:28" s="1" customFormat="1" ht="102">
      <c r="A13" s="311"/>
      <c r="B13" s="304"/>
      <c r="C13" s="244"/>
      <c r="D13" s="244"/>
      <c r="E13" s="244"/>
      <c r="F13" s="244"/>
      <c r="G13" s="244"/>
      <c r="H13" s="244"/>
      <c r="I13" s="244"/>
      <c r="J13" s="269"/>
      <c r="K13" s="317"/>
      <c r="L13" s="251"/>
      <c r="M13" s="252"/>
      <c r="N13" s="252"/>
      <c r="O13" s="43" t="s">
        <v>277</v>
      </c>
      <c r="P13" s="10">
        <v>1</v>
      </c>
      <c r="Q13" s="10">
        <v>1</v>
      </c>
      <c r="R13" s="46">
        <v>0.7</v>
      </c>
      <c r="S13" s="114">
        <f aca="true" t="shared" si="0" ref="S13:S76">R13/Q13</f>
        <v>0.7</v>
      </c>
      <c r="T13" s="252"/>
      <c r="U13" s="252"/>
      <c r="V13" s="236"/>
      <c r="W13" s="236"/>
      <c r="X13" s="226"/>
      <c r="Y13" s="122" t="s">
        <v>372</v>
      </c>
      <c r="Z13" s="123" t="s">
        <v>373</v>
      </c>
      <c r="AA13" s="134" t="str">
        <f>'[1]PLAN DE ACCION'!AA13</f>
        <v>Se lleva a cabo por demanda, se han recibido solicitudes de los predios Reserva Natural La María del 01-02-2021, se da Rpta a traves del DP-POT-639 del 16-02-2021, en DP-PDE-5986 del 23-07-2021 se solicita a DAHM por competencia la aplicación de exención impuesto predial unificado por conservación ambiental al predio Reserva La María.  Solictitud  MALL LA AVENIDA 29-06-2021, el 19-07-2021 se realiza visita al MALL, en DP-POT-AMD 7677 del 08-09-2021 se solicita ampliar información al MALL.</v>
      </c>
      <c r="AB13" s="312"/>
    </row>
    <row r="14" spans="1:28" s="1" customFormat="1" ht="127.5">
      <c r="A14" s="311"/>
      <c r="B14" s="304"/>
      <c r="C14" s="244" t="s">
        <v>32</v>
      </c>
      <c r="D14" s="244" t="s">
        <v>33</v>
      </c>
      <c r="E14" s="269">
        <v>0.3</v>
      </c>
      <c r="F14" s="269">
        <v>0.7</v>
      </c>
      <c r="G14" s="244"/>
      <c r="H14" s="244" t="s">
        <v>34</v>
      </c>
      <c r="I14" s="244" t="s">
        <v>35</v>
      </c>
      <c r="J14" s="269">
        <v>0.3</v>
      </c>
      <c r="K14" s="317">
        <v>0.7</v>
      </c>
      <c r="L14" s="251"/>
      <c r="M14" s="252"/>
      <c r="N14" s="252"/>
      <c r="O14" s="43" t="s">
        <v>132</v>
      </c>
      <c r="P14" s="10">
        <v>0</v>
      </c>
      <c r="Q14" s="10">
        <v>0.15</v>
      </c>
      <c r="R14" s="46">
        <v>0.07</v>
      </c>
      <c r="S14" s="114">
        <f t="shared" si="0"/>
        <v>0.46666666666666673</v>
      </c>
      <c r="T14" s="252" t="s">
        <v>353</v>
      </c>
      <c r="U14" s="252" t="s">
        <v>354</v>
      </c>
      <c r="V14" s="236">
        <f>94359706+101000000+127540294+30000000</f>
        <v>352900000</v>
      </c>
      <c r="W14" s="236">
        <f>50000000+96271180</f>
        <v>146271180</v>
      </c>
      <c r="X14" s="226">
        <f>W14/V14</f>
        <v>0.4144833663927458</v>
      </c>
      <c r="Y14" s="124" t="s">
        <v>374</v>
      </c>
      <c r="Z14" s="125" t="s">
        <v>371</v>
      </c>
      <c r="AA14" s="134" t="str">
        <f>'[1]PLAN DE ACCION'!AA14</f>
        <v>Se cuenta con un informe tecnico de todas las intervenciones pendientes por ejecutar en cuanto a talas, podas y desorille, debidamente georreferenciadas y con registros fotograficos de 391 puntos, se realizaron las gestiones para contar con los permisos de la oficina munipal para la gestión del riesgo, se está en etapa contractual. /// Se han intervenido 23 arboles. Yarumo miraflores, araucaria barrio obrero, Balzo Chilacoa, arbol seco Ulises ciudad Dorada, Palma Laures, ceiba SENA agropecuario, canchas ciudad dorada 2, guayacan parqueadero ciudad Dorada, Eucaliptus cancha El Placer, 3 CAM.   </v>
      </c>
      <c r="AB14" s="312"/>
    </row>
    <row r="15" spans="1:28" s="1" customFormat="1" ht="40.5" customHeight="1">
      <c r="A15" s="311"/>
      <c r="B15" s="304"/>
      <c r="C15" s="244"/>
      <c r="D15" s="244"/>
      <c r="E15" s="269"/>
      <c r="F15" s="269"/>
      <c r="G15" s="244"/>
      <c r="H15" s="244"/>
      <c r="I15" s="244"/>
      <c r="J15" s="269"/>
      <c r="K15" s="317"/>
      <c r="L15" s="251"/>
      <c r="M15" s="252"/>
      <c r="N15" s="252"/>
      <c r="O15" s="43" t="s">
        <v>133</v>
      </c>
      <c r="P15" s="8">
        <v>347</v>
      </c>
      <c r="Q15" s="8">
        <v>600</v>
      </c>
      <c r="R15" s="132">
        <v>600</v>
      </c>
      <c r="S15" s="114">
        <f t="shared" si="0"/>
        <v>1</v>
      </c>
      <c r="T15" s="252"/>
      <c r="U15" s="252"/>
      <c r="V15" s="236"/>
      <c r="W15" s="236"/>
      <c r="X15" s="226"/>
      <c r="Y15" s="124" t="s">
        <v>374</v>
      </c>
      <c r="Z15" s="125" t="s">
        <v>375</v>
      </c>
      <c r="AA15" s="134" t="str">
        <f>'[1]PLAN DE ACCION'!AA15</f>
        <v>Se han georreferenciado entre arboles y guaduales en el 1er trimestre 226, 2do trimestre 364. 3er Trimestre 21 guaduales en diferentes sectores de la ciudad. TOTAL: 611 </v>
      </c>
      <c r="AB15" s="312"/>
    </row>
    <row r="16" spans="1:28" s="1" customFormat="1" ht="63" customHeight="1">
      <c r="A16" s="311"/>
      <c r="B16" s="304"/>
      <c r="C16" s="244"/>
      <c r="D16" s="244"/>
      <c r="E16" s="269"/>
      <c r="F16" s="269"/>
      <c r="G16" s="244"/>
      <c r="H16" s="244"/>
      <c r="I16" s="244"/>
      <c r="J16" s="269"/>
      <c r="K16" s="317"/>
      <c r="L16" s="251"/>
      <c r="M16" s="252"/>
      <c r="N16" s="252"/>
      <c r="O16" s="43" t="s">
        <v>218</v>
      </c>
      <c r="P16" s="8">
        <v>1</v>
      </c>
      <c r="Q16" s="8">
        <v>1</v>
      </c>
      <c r="R16" s="132">
        <v>0.45</v>
      </c>
      <c r="S16" s="114">
        <f t="shared" si="0"/>
        <v>0.45</v>
      </c>
      <c r="T16" s="252"/>
      <c r="U16" s="252"/>
      <c r="V16" s="236"/>
      <c r="W16" s="236"/>
      <c r="X16" s="226"/>
      <c r="Y16" s="124" t="s">
        <v>374</v>
      </c>
      <c r="Z16" s="125" t="s">
        <v>375</v>
      </c>
      <c r="AA16" s="134" t="str">
        <f>'[1]PLAN DE ACCION'!AA16</f>
        <v>Se llevo a cabo actualización del documento con respecto a los inventarios forestales, por lo que el proceso de edición tuvo que ser modificado y se realizó una nueva estructuración por comuna.</v>
      </c>
      <c r="AB16" s="312"/>
    </row>
    <row r="17" spans="1:28" s="1" customFormat="1" ht="105" customHeight="1">
      <c r="A17" s="311"/>
      <c r="B17" s="304"/>
      <c r="C17" s="244"/>
      <c r="D17" s="244"/>
      <c r="E17" s="269"/>
      <c r="F17" s="269"/>
      <c r="G17" s="244"/>
      <c r="H17" s="244"/>
      <c r="I17" s="244"/>
      <c r="J17" s="269"/>
      <c r="K17" s="317"/>
      <c r="L17" s="251"/>
      <c r="M17" s="252"/>
      <c r="N17" s="252"/>
      <c r="O17" s="43" t="s">
        <v>144</v>
      </c>
      <c r="P17" s="10">
        <v>0</v>
      </c>
      <c r="Q17" s="10">
        <v>0.15</v>
      </c>
      <c r="R17" s="46">
        <v>0.07</v>
      </c>
      <c r="S17" s="114">
        <f t="shared" si="0"/>
        <v>0.46666666666666673</v>
      </c>
      <c r="T17" s="252"/>
      <c r="U17" s="252"/>
      <c r="V17" s="236"/>
      <c r="W17" s="236"/>
      <c r="X17" s="226"/>
      <c r="Y17" s="124" t="s">
        <v>374</v>
      </c>
      <c r="Z17" s="125" t="s">
        <v>375</v>
      </c>
      <c r="AA17" s="134" t="str">
        <f>'[1]PLAN DE ACCION'!AA17</f>
        <v>Se cuenta con un informe tecnico de todas las intervenciones pendientes por ejecutar en cuanto a talas, podas y desorille, debidamente georreferenciadas y con registros fotograficos, ademas de contar con los permisos de la oficina munipal para la gestión del riesgo,  se esta en la etapa contractual.</v>
      </c>
      <c r="AB17" s="312"/>
    </row>
    <row r="18" spans="1:28" s="1" customFormat="1" ht="54.75" customHeight="1">
      <c r="A18" s="311"/>
      <c r="B18" s="304"/>
      <c r="C18" s="244" t="s">
        <v>32</v>
      </c>
      <c r="D18" s="244" t="s">
        <v>33</v>
      </c>
      <c r="E18" s="269">
        <v>0.3</v>
      </c>
      <c r="F18" s="269">
        <v>0.7</v>
      </c>
      <c r="G18" s="244"/>
      <c r="H18" s="244" t="s">
        <v>36</v>
      </c>
      <c r="I18" s="244" t="s">
        <v>37</v>
      </c>
      <c r="J18" s="244" t="s">
        <v>38</v>
      </c>
      <c r="K18" s="294" t="s">
        <v>39</v>
      </c>
      <c r="L18" s="251"/>
      <c r="M18" s="252"/>
      <c r="N18" s="252"/>
      <c r="O18" s="43" t="s">
        <v>145</v>
      </c>
      <c r="P18" s="37">
        <v>30</v>
      </c>
      <c r="Q18" s="37">
        <v>10</v>
      </c>
      <c r="R18" s="151">
        <v>10</v>
      </c>
      <c r="S18" s="114">
        <f t="shared" si="0"/>
        <v>1</v>
      </c>
      <c r="T18" s="252" t="s">
        <v>356</v>
      </c>
      <c r="U18" s="271" t="s">
        <v>209</v>
      </c>
      <c r="V18" s="236">
        <v>50000000</v>
      </c>
      <c r="W18" s="236">
        <v>50000000</v>
      </c>
      <c r="X18" s="226">
        <f>W18/V18</f>
        <v>1</v>
      </c>
      <c r="Y18" s="122" t="s">
        <v>376</v>
      </c>
      <c r="Z18" s="123" t="s">
        <v>375</v>
      </c>
      <c r="AA18" s="134" t="str">
        <f>'[1]PLAN DE ACCION'!AA18</f>
        <v>Se han realizado 18 jornadas de impieza de quebrada en zonas de importancia ambiental en Microcuencas Venus, Laureles, Florida, Santa Elena, Montañita, Los Quindos, Yeguas-Santander, Centenario, Armenia, Quebrada Espejo, La Clarita, Centenario Norte, La Aldana, Cristales. Logrando intervenir 8.240 Metros Lineales y 2310 M3 de residuos. Se anexa consolidado e informes de las actividades.</v>
      </c>
      <c r="AB18" s="312"/>
    </row>
    <row r="19" spans="1:28" s="1" customFormat="1" ht="49.5" customHeight="1">
      <c r="A19" s="311"/>
      <c r="B19" s="304"/>
      <c r="C19" s="244"/>
      <c r="D19" s="244"/>
      <c r="E19" s="269"/>
      <c r="F19" s="269"/>
      <c r="G19" s="244"/>
      <c r="H19" s="244"/>
      <c r="I19" s="244"/>
      <c r="J19" s="244"/>
      <c r="K19" s="294"/>
      <c r="L19" s="251"/>
      <c r="M19" s="252"/>
      <c r="N19" s="252"/>
      <c r="O19" s="43" t="s">
        <v>162</v>
      </c>
      <c r="P19" s="8">
        <v>3</v>
      </c>
      <c r="Q19" s="8">
        <v>3</v>
      </c>
      <c r="R19" s="132">
        <v>2</v>
      </c>
      <c r="S19" s="114">
        <f t="shared" si="0"/>
        <v>0.6666666666666666</v>
      </c>
      <c r="T19" s="252"/>
      <c r="U19" s="271"/>
      <c r="V19" s="236"/>
      <c r="W19" s="236"/>
      <c r="X19" s="226"/>
      <c r="Y19" s="124" t="s">
        <v>377</v>
      </c>
      <c r="Z19" s="125" t="s">
        <v>378</v>
      </c>
      <c r="AA19" s="134" t="str">
        <f>'[1]PLAN DE ACCION'!AA19</f>
        <v>Se continua realizando la intervencion en el sendero del barrio el silencio y montevideo en las fechas 26-07-2021 y 26-09-2021, el 13-09-2021 en sendero Villa Italia - La Cecilia en manejo de residuos sólidos en ladera.</v>
      </c>
      <c r="AB19" s="312"/>
    </row>
    <row r="20" spans="1:28" s="1" customFormat="1" ht="118.5" customHeight="1">
      <c r="A20" s="311"/>
      <c r="B20" s="304"/>
      <c r="C20" s="9">
        <v>13.15</v>
      </c>
      <c r="D20" s="9" t="s">
        <v>40</v>
      </c>
      <c r="E20" s="9" t="s">
        <v>41</v>
      </c>
      <c r="F20" s="11">
        <v>0.8</v>
      </c>
      <c r="G20" s="9" t="s">
        <v>42</v>
      </c>
      <c r="H20" s="9" t="s">
        <v>171</v>
      </c>
      <c r="I20" s="9" t="s">
        <v>170</v>
      </c>
      <c r="J20" s="9">
        <v>1</v>
      </c>
      <c r="K20" s="48">
        <v>1</v>
      </c>
      <c r="L20" s="251" t="s">
        <v>169</v>
      </c>
      <c r="M20" s="252" t="s">
        <v>103</v>
      </c>
      <c r="N20" s="252" t="s">
        <v>135</v>
      </c>
      <c r="O20" s="41" t="s">
        <v>228</v>
      </c>
      <c r="P20" s="8">
        <v>1</v>
      </c>
      <c r="Q20" s="8">
        <v>1</v>
      </c>
      <c r="R20" s="132">
        <v>1</v>
      </c>
      <c r="S20" s="114">
        <f t="shared" si="0"/>
        <v>1</v>
      </c>
      <c r="T20" s="8" t="s">
        <v>357</v>
      </c>
      <c r="U20" s="8" t="s">
        <v>358</v>
      </c>
      <c r="V20" s="95">
        <f>93000000+969078820+20000000</f>
        <v>1082078820</v>
      </c>
      <c r="W20" s="95">
        <f>93000000+968281771.2</f>
        <v>1061281771.2</v>
      </c>
      <c r="X20" s="118">
        <f>W20/V20</f>
        <v>0.9807804677296983</v>
      </c>
      <c r="Y20" s="124" t="s">
        <v>374</v>
      </c>
      <c r="Z20" s="97" t="s">
        <v>375</v>
      </c>
      <c r="AA20" s="135" t="str">
        <f>'[1]PLAN DE ACCION'!AA20</f>
        <v>Se finalizó el documento diagnostico del estado actual de las microcuencas y se dio inicio con la caraterización de las microcuencas La Aldana y Hojas Anchas, en el proceso se recogieron evidencias ( registros fotográficos, fichas de vertimientos y caracterización) de las dos microcuencas seleccionadas para la caracterización, las cuales corresponden a microcuenca cristales y la florida de las 18 existentes. -Se finalizo con la caractrizacion de la Micro cuenca Cristales y La Floridad. Se dió continuidad con los recorridos de las microcuencias aplicando las fichas de caracterización biologicas y se diligenció ficha de recorrido Microcuenca Río Quindío.  </v>
      </c>
      <c r="AB20" s="312" t="s">
        <v>101</v>
      </c>
    </row>
    <row r="21" spans="1:28" s="1" customFormat="1" ht="72" customHeight="1">
      <c r="A21" s="311"/>
      <c r="B21" s="304"/>
      <c r="C21" s="244" t="s">
        <v>32</v>
      </c>
      <c r="D21" s="244" t="s">
        <v>40</v>
      </c>
      <c r="E21" s="244" t="s">
        <v>41</v>
      </c>
      <c r="F21" s="269">
        <v>0.8</v>
      </c>
      <c r="G21" s="244" t="s">
        <v>42</v>
      </c>
      <c r="H21" s="244" t="s">
        <v>43</v>
      </c>
      <c r="I21" s="244" t="s">
        <v>44</v>
      </c>
      <c r="J21" s="244" t="s">
        <v>45</v>
      </c>
      <c r="K21" s="318" t="s">
        <v>46</v>
      </c>
      <c r="L21" s="251"/>
      <c r="M21" s="252"/>
      <c r="N21" s="252"/>
      <c r="O21" s="43" t="s">
        <v>290</v>
      </c>
      <c r="P21" s="10">
        <v>1</v>
      </c>
      <c r="Q21" s="10">
        <v>1</v>
      </c>
      <c r="R21" s="46">
        <v>1</v>
      </c>
      <c r="S21" s="114">
        <f t="shared" si="0"/>
        <v>1</v>
      </c>
      <c r="T21" s="322" t="s">
        <v>268</v>
      </c>
      <c r="U21" s="252" t="s">
        <v>209</v>
      </c>
      <c r="V21" s="227">
        <v>52800000</v>
      </c>
      <c r="W21" s="227">
        <v>52800000</v>
      </c>
      <c r="X21" s="226">
        <f>W21/V21</f>
        <v>1</v>
      </c>
      <c r="Y21" s="124" t="s">
        <v>374</v>
      </c>
      <c r="Z21" s="97" t="s">
        <v>379</v>
      </c>
      <c r="AA21" s="135" t="str">
        <f>'[1]PLAN DE ACCION'!AA21</f>
        <v>Se han desarrollado labores de: Llenado de bolsa, riego, retiro de malezas y arvenses en bolsa y en germinador, control biológico, recolección de semilla, hidratación de semilla, siembra de semilla en germinador, se tienen para este segundo trimestre del 2021, 2430 plantulas en el inventario y las cuales pueden ser suministradas para los diferentes proyectos ambientales o para la comunidad en caso de fortalecimiento de corredores biológicos. Dentro de estas se tienen especies de: Guamo machete 386, Nogal Cafetero 212, Árbol del Pan 76, Casco de Buey 405, Guayacan Amarillo 23, Achiote 11, Saman 16, Ceiba Amarillo 4, Guayacan Lila 21, Guayacan de Manizales 214, Vainillo 823, Leucaena 163, en este 3er trimestre se ha aumentado a: 4638 especies forestales. </v>
      </c>
      <c r="AB21" s="312"/>
    </row>
    <row r="22" spans="1:28" s="1" customFormat="1" ht="72.75" customHeight="1">
      <c r="A22" s="311"/>
      <c r="B22" s="304"/>
      <c r="C22" s="244"/>
      <c r="D22" s="244"/>
      <c r="E22" s="244"/>
      <c r="F22" s="269"/>
      <c r="G22" s="244"/>
      <c r="H22" s="244"/>
      <c r="I22" s="244"/>
      <c r="J22" s="244"/>
      <c r="K22" s="318"/>
      <c r="L22" s="251"/>
      <c r="M22" s="252"/>
      <c r="N22" s="252"/>
      <c r="O22" s="43" t="s">
        <v>265</v>
      </c>
      <c r="P22" s="10">
        <v>1</v>
      </c>
      <c r="Q22" s="10">
        <v>1</v>
      </c>
      <c r="R22" s="46">
        <v>0.75</v>
      </c>
      <c r="S22" s="114">
        <f t="shared" si="0"/>
        <v>0.75</v>
      </c>
      <c r="T22" s="322"/>
      <c r="U22" s="252"/>
      <c r="V22" s="227"/>
      <c r="W22" s="227"/>
      <c r="X22" s="226"/>
      <c r="Y22" s="124" t="s">
        <v>374</v>
      </c>
      <c r="Z22" s="97" t="s">
        <v>379</v>
      </c>
      <c r="AA22" s="135" t="str">
        <f>'[1]PLAN DE ACCION'!AA22</f>
        <v>Se culmino el levantamiento de germinadores en un area aproximadamente de 20 metros cuadrados, levantamiento de techos en guadua y en plastico transparente, se ha realizado el suministro de material vegetal, se lleva registro de todas las actividades que se generan en el vivero, cronograma semanales para las actividades que se llevan a cabo semanalmente</v>
      </c>
      <c r="AB22" s="312"/>
    </row>
    <row r="23" spans="1:28" s="1" customFormat="1" ht="66" customHeight="1">
      <c r="A23" s="311"/>
      <c r="B23" s="304"/>
      <c r="C23" s="244">
        <v>11</v>
      </c>
      <c r="D23" s="244" t="s">
        <v>47</v>
      </c>
      <c r="E23" s="244" t="s">
        <v>41</v>
      </c>
      <c r="F23" s="269">
        <v>0.3</v>
      </c>
      <c r="G23" s="252" t="s">
        <v>181</v>
      </c>
      <c r="H23" s="244" t="s">
        <v>174</v>
      </c>
      <c r="I23" s="244" t="s">
        <v>173</v>
      </c>
      <c r="J23" s="244">
        <v>0</v>
      </c>
      <c r="K23" s="262">
        <v>2</v>
      </c>
      <c r="L23" s="251" t="s">
        <v>172</v>
      </c>
      <c r="M23" s="252" t="s">
        <v>104</v>
      </c>
      <c r="N23" s="252" t="s">
        <v>136</v>
      </c>
      <c r="O23" s="43" t="s">
        <v>291</v>
      </c>
      <c r="P23" s="8">
        <v>0</v>
      </c>
      <c r="Q23" s="8">
        <v>150</v>
      </c>
      <c r="R23" s="132">
        <v>150</v>
      </c>
      <c r="S23" s="114">
        <f t="shared" si="0"/>
        <v>1</v>
      </c>
      <c r="T23" s="252" t="s">
        <v>359</v>
      </c>
      <c r="U23" s="252" t="s">
        <v>360</v>
      </c>
      <c r="V23" s="227">
        <f>33000000+15300000+1728886101</f>
        <v>1777186101</v>
      </c>
      <c r="W23" s="227">
        <f>33000000+13650000</f>
        <v>46650000</v>
      </c>
      <c r="X23" s="226">
        <f>W23/V23</f>
        <v>0.026249361264839198</v>
      </c>
      <c r="Y23" s="124" t="s">
        <v>374</v>
      </c>
      <c r="Z23" s="97" t="s">
        <v>371</v>
      </c>
      <c r="AA23" s="135" t="str">
        <f>'[1]PLAN DE ACCION'!AA23</f>
        <v>Se identificaron 518 fuentes de contaminación que vierten a las microcuencas Cristales, Yeguas, La florida, Hojas Anchas, La Clarita-La Patria,  y en barrios Villa Angela, 25 Mayo, Santander, La Pavona,  La Gallera, La Castilla y Las Americas) a traves de fichas de vertimiento. -En microcuenca Armenia, Cristales, Río Quindío, Yeguas, Florida, San José Damasco, Pinares, La Clarita, La Aldana. se identificaron y georeferenciaron vertimientos en los Barrios: Av Los Camellos, La Castilla, Av Centenario, Popular, El Porvenir, Frente a la Fiscalía, La Unión, Nuestra Señora de la paz, Los Cámbulos, parque residencial del café, San Diego, Monserrate, Bosques de Viena, Milagro de Dios, Montevideo. Avenidad Centenario se identifica vertimiento al Río Quindío. Se relaciona puntos de contaminación de Residuos Solidos con 19 puntos. Se genero reporte a la Procuraduría. </v>
      </c>
      <c r="AB23" s="312" t="s">
        <v>101</v>
      </c>
    </row>
    <row r="24" spans="1:28" s="1" customFormat="1" ht="66" customHeight="1">
      <c r="A24" s="311"/>
      <c r="B24" s="304"/>
      <c r="C24" s="244"/>
      <c r="D24" s="244"/>
      <c r="E24" s="244"/>
      <c r="F24" s="269"/>
      <c r="G24" s="252"/>
      <c r="H24" s="244"/>
      <c r="I24" s="244"/>
      <c r="J24" s="244"/>
      <c r="K24" s="262"/>
      <c r="L24" s="251"/>
      <c r="M24" s="252"/>
      <c r="N24" s="252"/>
      <c r="O24" s="43" t="s">
        <v>273</v>
      </c>
      <c r="P24" s="8">
        <v>1</v>
      </c>
      <c r="Q24" s="8">
        <v>1</v>
      </c>
      <c r="R24" s="132">
        <v>0.2</v>
      </c>
      <c r="S24" s="114">
        <f t="shared" si="0"/>
        <v>0.2</v>
      </c>
      <c r="T24" s="252"/>
      <c r="U24" s="252"/>
      <c r="V24" s="227"/>
      <c r="W24" s="227"/>
      <c r="X24" s="226"/>
      <c r="Y24" s="124" t="s">
        <v>374</v>
      </c>
      <c r="Z24" s="97" t="s">
        <v>371</v>
      </c>
      <c r="AA24" s="135" t="str">
        <f>'[1]PLAN DE ACCION'!AA24</f>
        <v>En proceso de firma de Convenio  interadministrativo con la CRQ para la construcción del Plan de Manejo de los predios adquiridos (Se hizo llegar a la oficina juridica de CRQ el estudio de titulos de los predios y los estudios previso para revision del futuro convenio).</v>
      </c>
      <c r="AB24" s="312"/>
    </row>
    <row r="25" spans="1:28" s="1" customFormat="1" ht="45" customHeight="1">
      <c r="A25" s="311"/>
      <c r="B25" s="304"/>
      <c r="C25" s="244"/>
      <c r="D25" s="244"/>
      <c r="E25" s="244"/>
      <c r="F25" s="269"/>
      <c r="G25" s="252"/>
      <c r="H25" s="244"/>
      <c r="I25" s="244"/>
      <c r="J25" s="244"/>
      <c r="K25" s="262"/>
      <c r="L25" s="251"/>
      <c r="M25" s="252"/>
      <c r="N25" s="252"/>
      <c r="O25" s="43" t="s">
        <v>274</v>
      </c>
      <c r="P25" s="8">
        <v>0</v>
      </c>
      <c r="Q25" s="8">
        <v>1</v>
      </c>
      <c r="R25" s="132">
        <v>0.8</v>
      </c>
      <c r="S25" s="114">
        <f t="shared" si="0"/>
        <v>0.8</v>
      </c>
      <c r="T25" s="252"/>
      <c r="U25" s="252"/>
      <c r="V25" s="227"/>
      <c r="W25" s="227"/>
      <c r="X25" s="226"/>
      <c r="Y25" s="228" t="s">
        <v>374</v>
      </c>
      <c r="Z25" s="228" t="s">
        <v>371</v>
      </c>
      <c r="AA25" s="135" t="str">
        <f>'[1]PLAN DE ACCION'!AA25</f>
        <v>Se consolido la información en fichas tecnicas, tabla de Excel y Google Earth Pro - de los vertimientos.</v>
      </c>
      <c r="AB25" s="312"/>
    </row>
    <row r="26" spans="1:28" s="1" customFormat="1" ht="62.25" customHeight="1">
      <c r="A26" s="311"/>
      <c r="B26" s="304"/>
      <c r="C26" s="244"/>
      <c r="D26" s="244"/>
      <c r="E26" s="244"/>
      <c r="F26" s="269"/>
      <c r="G26" s="252"/>
      <c r="H26" s="244"/>
      <c r="I26" s="244"/>
      <c r="J26" s="244"/>
      <c r="K26" s="262"/>
      <c r="L26" s="251"/>
      <c r="M26" s="252"/>
      <c r="N26" s="252"/>
      <c r="O26" s="43" t="s">
        <v>275</v>
      </c>
      <c r="P26" s="8">
        <v>0</v>
      </c>
      <c r="Q26" s="8">
        <v>1</v>
      </c>
      <c r="R26" s="132">
        <v>1</v>
      </c>
      <c r="S26" s="114">
        <f t="shared" si="0"/>
        <v>1</v>
      </c>
      <c r="T26" s="252"/>
      <c r="U26" s="252"/>
      <c r="V26" s="227"/>
      <c r="W26" s="227"/>
      <c r="X26" s="226"/>
      <c r="Y26" s="228"/>
      <c r="Z26" s="228"/>
      <c r="AA26" s="135" t="str">
        <f>'[1]PLAN DE ACCION'!AA26</f>
        <v>Se dio cumplimiento con la elaboración del documento correspondiente a las estrategias de mitigación y en el cual se proponen actividades a realizar : 1-Educación Ambiental. 2- Remoción de material flotante, Así mismo se presenta otra estrategia de mitigación de fuentes contaminantes.  Se da inicio con nuevo documento en donde se proponen dos nuevas estrategias. </v>
      </c>
      <c r="AB26" s="312"/>
    </row>
    <row r="27" spans="1:28" s="1" customFormat="1" ht="62.25" customHeight="1">
      <c r="A27" s="311"/>
      <c r="B27" s="304"/>
      <c r="C27" s="8">
        <v>11</v>
      </c>
      <c r="D27" s="8" t="s">
        <v>47</v>
      </c>
      <c r="E27" s="8" t="s">
        <v>41</v>
      </c>
      <c r="F27" s="10">
        <v>0.3</v>
      </c>
      <c r="G27" s="252"/>
      <c r="H27" s="8" t="s">
        <v>48</v>
      </c>
      <c r="I27" s="8" t="s">
        <v>279</v>
      </c>
      <c r="J27" s="8">
        <v>0</v>
      </c>
      <c r="K27" s="49">
        <v>10</v>
      </c>
      <c r="L27" s="259" t="s">
        <v>175</v>
      </c>
      <c r="M27" s="245" t="s">
        <v>105</v>
      </c>
      <c r="N27" s="245" t="s">
        <v>137</v>
      </c>
      <c r="O27" s="43" t="s">
        <v>292</v>
      </c>
      <c r="P27" s="8">
        <v>0</v>
      </c>
      <c r="Q27" s="8">
        <v>5</v>
      </c>
      <c r="R27" s="132">
        <v>4</v>
      </c>
      <c r="S27" s="114">
        <f t="shared" si="0"/>
        <v>0.8</v>
      </c>
      <c r="T27" s="245" t="s">
        <v>336</v>
      </c>
      <c r="U27" s="245" t="s">
        <v>337</v>
      </c>
      <c r="V27" s="232">
        <v>911200000</v>
      </c>
      <c r="W27" s="232">
        <v>889950000</v>
      </c>
      <c r="X27" s="229">
        <f>W27/V27</f>
        <v>0.976679104477612</v>
      </c>
      <c r="Y27" s="97" t="s">
        <v>374</v>
      </c>
      <c r="Z27" s="97" t="s">
        <v>371</v>
      </c>
      <c r="AA27" s="136" t="str">
        <f>'[1]PLAN DE ACCION'!AA27</f>
        <v>Se creo (Estrategias de Información, educación y comunicación IEC para el programa de aporvechamiento del PGIRS de Armenia.   Igualmente se elaboraron los manuales de: Manejo adecuado de residuos para eventos masivos, Manual manejo adecuado de residuos para Centros Comerciales. Se ha implementado en los barrios Bosques de Pinares, Portal de Pinares, Simon Bolivar, La Mariela, Montevideo, El Silencio, El Belen etc).    Se formulo la estrategia psicosocial para la formalización de los recuperadores de oficio y esta en proceso de implmentación.  ///  Se continua con la puesta en marcha de las estrategias de Información Educación y comunicación en los Barrios Gaduales del Eden, los Quindos, la Fachada, La Mariela, Ciudadela Confenalco, Villa Italia y La Patria.  Se realiza propuesta para el diagnostico de los PRAES de 5 Instituciones educativas públicas del municipio de Armenia (ITI, Camara Junior, CASD, Laura Vicuña y Eudoro Granada.) para este trimestre se realizo el esquema para el ITI y Camara Junior, ya se ha socializado con los profesores del Prae </v>
      </c>
      <c r="AB27" s="253" t="s">
        <v>101</v>
      </c>
    </row>
    <row r="28" spans="1:28" s="1" customFormat="1" ht="99.75" customHeight="1">
      <c r="A28" s="311"/>
      <c r="B28" s="304"/>
      <c r="C28" s="9">
        <v>11</v>
      </c>
      <c r="D28" s="9" t="s">
        <v>47</v>
      </c>
      <c r="E28" s="9" t="s">
        <v>41</v>
      </c>
      <c r="F28" s="11">
        <v>0.3</v>
      </c>
      <c r="G28" s="252"/>
      <c r="H28" s="9" t="s">
        <v>48</v>
      </c>
      <c r="I28" s="9" t="s">
        <v>49</v>
      </c>
      <c r="J28" s="9">
        <v>0</v>
      </c>
      <c r="K28" s="48">
        <v>1</v>
      </c>
      <c r="L28" s="261"/>
      <c r="M28" s="247"/>
      <c r="N28" s="247"/>
      <c r="O28" s="43" t="s">
        <v>293</v>
      </c>
      <c r="P28" s="8">
        <v>0</v>
      </c>
      <c r="Q28" s="8">
        <v>1</v>
      </c>
      <c r="R28" s="132">
        <v>0.5</v>
      </c>
      <c r="S28" s="114">
        <f t="shared" si="0"/>
        <v>0.5</v>
      </c>
      <c r="T28" s="247"/>
      <c r="U28" s="247"/>
      <c r="V28" s="234"/>
      <c r="W28" s="234"/>
      <c r="X28" s="231"/>
      <c r="Y28" s="97" t="s">
        <v>374</v>
      </c>
      <c r="Z28" s="97" t="s">
        <v>371</v>
      </c>
      <c r="AA28" s="136" t="str">
        <f>'[1]PLAN DE ACCION'!AA28</f>
        <v>Mediante el convenio de asociación No.028 se encuentra en desarrollo  la actualización del PGIRS, se llevó a cabo el primer comité técnico donde se socializo la necesidad que se tiene de actualizar el documento PGIRS, se está a la espera del proximo comité para el proceso de caracterización de los residuos y la  formulación de  los programas a traves del marco lógico. Se han adelantado actividades para dar cumplimiento al programa de aprovechamiento e inclusión de recuperadores de oficio. Se revisó el programa de inclusion social de recicladores de oficio. // Se incia la fase de planeación para a actualizacion del PGIRS, se realizan recorridos de identificación de las comunas y estratos socioeconómicos, identificación de puntos críticos por estratos y reconocimiento de la percepción de la comunidad referente al manejo de residuos y del papel de la empresa pretadora del servicio público en Armenia. En la fase 2  de ejecución se realiza caracterización de residuos sólidos de los estratos del 1 al 6 a través de encuestas de conocimiento sobre residuos y sensibilización sobre el manejo adecuado de los residuos sólidos, recoleccion de las muestras  clasificación de residuos  y pesaje.
Censo de cestas públicas, se censaron y georreferenciaron 450 cestas para obtener medidas de largo y ancho de las cestas, se clasificaron y georeferenciaron. se realiza el acto administrativo para la confotmacion del comite tecnico y comite coordinador del plan de Gstión de residuos sólidos PGIRS.  Se anexa el primer informe parcial de ejecución del convenio 028 de 2021</v>
      </c>
      <c r="AB28" s="255"/>
    </row>
    <row r="29" spans="1:28" s="1" customFormat="1" ht="54" customHeight="1">
      <c r="A29" s="311"/>
      <c r="B29" s="304"/>
      <c r="C29" s="244">
        <v>11</v>
      </c>
      <c r="D29" s="244" t="s">
        <v>47</v>
      </c>
      <c r="E29" s="244" t="s">
        <v>41</v>
      </c>
      <c r="F29" s="269">
        <v>0.38</v>
      </c>
      <c r="G29" s="252"/>
      <c r="H29" s="252" t="s">
        <v>48</v>
      </c>
      <c r="I29" s="252" t="s">
        <v>178</v>
      </c>
      <c r="J29" s="244"/>
      <c r="K29" s="262">
        <v>2</v>
      </c>
      <c r="L29" s="251" t="s">
        <v>176</v>
      </c>
      <c r="M29" s="252" t="s">
        <v>106</v>
      </c>
      <c r="N29" s="252" t="s">
        <v>138</v>
      </c>
      <c r="O29" s="43" t="s">
        <v>229</v>
      </c>
      <c r="P29" s="8">
        <v>1</v>
      </c>
      <c r="Q29" s="8">
        <v>1</v>
      </c>
      <c r="R29" s="132">
        <v>0.9</v>
      </c>
      <c r="S29" s="114">
        <f t="shared" si="0"/>
        <v>0.9</v>
      </c>
      <c r="T29" s="252" t="s">
        <v>361</v>
      </c>
      <c r="U29" s="252" t="s">
        <v>362</v>
      </c>
      <c r="V29" s="227">
        <f>28800000+16050000</f>
        <v>44850000</v>
      </c>
      <c r="W29" s="227">
        <f>28800000+16050000</f>
        <v>44850000</v>
      </c>
      <c r="X29" s="226">
        <f>W29/V29</f>
        <v>1</v>
      </c>
      <c r="Y29" s="97" t="s">
        <v>374</v>
      </c>
      <c r="Z29" s="97" t="s">
        <v>380</v>
      </c>
      <c r="AA29" s="135" t="str">
        <f>'[1]PLAN DE ACCION'!AA29</f>
        <v>Se generó guía sobre normatividad general ambiental dirigida sectores productivos de la ciudad de Armenia, priorizando el sector salud, educación e industria. En el momento el documento es de carácter preliminar ya que se le están realizando ajustes para el proceso definitivo de diagramación y aprobación por parte de la oficina de publicidad de la Alcaldía de Armenia. Actualmente se está trabajando en el mejoramiento de la guía  del sector de la construcción, lo anterior con el fin de elaborar documento que responda a las actividades productivas que pueden generar más impactos sobre el ambiente y pongan en riesgo el Paisaje Cultural Cafetero Colombiano en jurisdicción del municipio de Armenia. </v>
      </c>
      <c r="AB29" s="312" t="s">
        <v>101</v>
      </c>
    </row>
    <row r="30" spans="1:28" s="1" customFormat="1" ht="51" customHeight="1">
      <c r="A30" s="311"/>
      <c r="B30" s="304"/>
      <c r="C30" s="244"/>
      <c r="D30" s="244"/>
      <c r="E30" s="244"/>
      <c r="F30" s="269"/>
      <c r="G30" s="252"/>
      <c r="H30" s="252"/>
      <c r="I30" s="252"/>
      <c r="J30" s="244"/>
      <c r="K30" s="262"/>
      <c r="L30" s="251"/>
      <c r="M30" s="252"/>
      <c r="N30" s="252"/>
      <c r="O30" s="43" t="s">
        <v>294</v>
      </c>
      <c r="P30" s="8">
        <v>0</v>
      </c>
      <c r="Q30" s="8">
        <v>30</v>
      </c>
      <c r="R30" s="132">
        <v>10</v>
      </c>
      <c r="S30" s="114">
        <f t="shared" si="0"/>
        <v>0.3333333333333333</v>
      </c>
      <c r="T30" s="252"/>
      <c r="U30" s="252"/>
      <c r="V30" s="227"/>
      <c r="W30" s="227"/>
      <c r="X30" s="226"/>
      <c r="Y30" s="97" t="s">
        <v>381</v>
      </c>
      <c r="Z30" s="97" t="s">
        <v>373</v>
      </c>
      <c r="AA30" s="135" t="str">
        <f>'[1]PLAN DE ACCION'!AA30</f>
        <v>A la fecha se han desarrollado un total de Diez (10) capacitaciones en temáticas referentes al manejo ambiental de acuerdo al establecimiento en el marco de la conservación del PCC y del desarrollo ambientalmente sostenible del municipio, las cuales se llevaron a cabo de la siguiente manera: Cinco (5) al sector de la construcción, una (1) al sector Comercio, Industria y Turismo (Dirigida a personal general y administrativo de los hoteles stelar, San Martín y Mocawa), una (1) al sector agropecuario ( En fincas productivas con áreas de conservación y ubicadas en zona rural de Armenia), una (1) al sector de la Salud (Dirigida a Farmacias y Droguerías de la zona circunvecinas al parque Fundadores de Armenia y finalemente (1) al sector educativo (dirigida a estudiantes de la Institución educativa el Caimo). La metodología empleada para la capacitación fue por grupos pequeños en el caso de las obras de construcción y persona a persona en el resto de establecimientos, de acuerdo a lo anterior se han capacitado un total de 60 personas aproximadamente.</v>
      </c>
      <c r="AB30" s="312"/>
    </row>
    <row r="31" spans="1:28" s="1" customFormat="1" ht="80.25" customHeight="1">
      <c r="A31" s="311"/>
      <c r="B31" s="304"/>
      <c r="C31" s="9">
        <v>11</v>
      </c>
      <c r="D31" s="50" t="s">
        <v>50</v>
      </c>
      <c r="E31" s="11">
        <v>0.3</v>
      </c>
      <c r="F31" s="11">
        <v>0.7</v>
      </c>
      <c r="G31" s="244" t="s">
        <v>184</v>
      </c>
      <c r="H31" s="9" t="s">
        <v>180</v>
      </c>
      <c r="I31" s="9" t="s">
        <v>179</v>
      </c>
      <c r="J31" s="9"/>
      <c r="K31" s="48">
        <v>4</v>
      </c>
      <c r="L31" s="251" t="s">
        <v>177</v>
      </c>
      <c r="M31" s="252" t="s">
        <v>107</v>
      </c>
      <c r="N31" s="252" t="s">
        <v>140</v>
      </c>
      <c r="O31" s="43" t="s">
        <v>295</v>
      </c>
      <c r="P31" s="8">
        <v>0</v>
      </c>
      <c r="Q31" s="8">
        <v>11</v>
      </c>
      <c r="R31" s="132">
        <v>11</v>
      </c>
      <c r="S31" s="114">
        <f t="shared" si="0"/>
        <v>1</v>
      </c>
      <c r="T31" s="8" t="s">
        <v>269</v>
      </c>
      <c r="U31" s="8" t="s">
        <v>209</v>
      </c>
      <c r="V31" s="95">
        <v>30000000</v>
      </c>
      <c r="W31" s="95">
        <v>30000000</v>
      </c>
      <c r="X31" s="118">
        <f>W31/V31</f>
        <v>1</v>
      </c>
      <c r="Y31" s="97" t="s">
        <v>374</v>
      </c>
      <c r="Z31" s="97" t="s">
        <v>380</v>
      </c>
      <c r="AA31" s="135" t="str">
        <f>'[1]PLAN DE ACCION'!AA31</f>
        <v>Se realizaron visitas a los sitios donde se trabaja la mineria artesanal en el Municipio de Armenia, Sector la Maria, Sector Rio Puerto Espejo y Sector Chaguala, donde se sensibilizo a los Mineros Artesanales a traves de una encuesta en el aplicativo Memento Data Base, adicionalmente en el mes de octubre se van a realizar 32 talleres en las inistituciones educativas y a las instituciones mineras.</v>
      </c>
      <c r="AB31" s="312" t="s">
        <v>101</v>
      </c>
    </row>
    <row r="32" spans="1:28" s="1" customFormat="1" ht="85.5">
      <c r="A32" s="311"/>
      <c r="B32" s="304"/>
      <c r="C32" s="9">
        <v>11</v>
      </c>
      <c r="D32" s="50" t="s">
        <v>50</v>
      </c>
      <c r="E32" s="11">
        <v>0.3</v>
      </c>
      <c r="F32" s="11">
        <v>0.7</v>
      </c>
      <c r="G32" s="244"/>
      <c r="H32" s="51" t="s">
        <v>51</v>
      </c>
      <c r="I32" s="51" t="s">
        <v>52</v>
      </c>
      <c r="J32" s="9">
        <v>1</v>
      </c>
      <c r="K32" s="48">
        <v>5</v>
      </c>
      <c r="L32" s="251"/>
      <c r="M32" s="252"/>
      <c r="N32" s="252"/>
      <c r="O32" s="43" t="s">
        <v>296</v>
      </c>
      <c r="P32" s="8">
        <v>0</v>
      </c>
      <c r="Q32" s="8">
        <v>2</v>
      </c>
      <c r="R32" s="132">
        <v>2</v>
      </c>
      <c r="S32" s="114">
        <f t="shared" si="0"/>
        <v>1</v>
      </c>
      <c r="T32" s="8" t="s">
        <v>363</v>
      </c>
      <c r="U32" s="8" t="s">
        <v>364</v>
      </c>
      <c r="V32" s="95">
        <f>30000000+40000000</f>
        <v>70000000</v>
      </c>
      <c r="W32" s="95">
        <f>30000000+40000000</f>
        <v>70000000</v>
      </c>
      <c r="X32" s="118">
        <f>W32/V32</f>
        <v>1</v>
      </c>
      <c r="Y32" s="97" t="s">
        <v>374</v>
      </c>
      <c r="Z32" s="97" t="s">
        <v>380</v>
      </c>
      <c r="AA32" s="135" t="str">
        <f>'[1]PLAN DE ACCION'!AA32</f>
        <v>Se realizaron 2 documentos tecnicos  guias de buenas practias ambianteles 1  folletos y 1 cartilla de los cuales se van a entregar 500 ejemplares de cada uno en los talleres a realizarse en las insituciones educativas y sector minero</v>
      </c>
      <c r="AB32" s="312"/>
    </row>
    <row r="33" spans="1:28" s="1" customFormat="1" ht="64.5" customHeight="1">
      <c r="A33" s="311"/>
      <c r="B33" s="304"/>
      <c r="C33" s="9">
        <v>11</v>
      </c>
      <c r="D33" s="50" t="s">
        <v>50</v>
      </c>
      <c r="E33" s="11">
        <v>0.3</v>
      </c>
      <c r="F33" s="11">
        <v>0.7</v>
      </c>
      <c r="G33" s="244"/>
      <c r="H33" s="238" t="s">
        <v>53</v>
      </c>
      <c r="I33" s="238" t="s">
        <v>54</v>
      </c>
      <c r="J33" s="238">
        <v>0</v>
      </c>
      <c r="K33" s="263">
        <v>60</v>
      </c>
      <c r="L33" s="251" t="s">
        <v>182</v>
      </c>
      <c r="M33" s="252" t="s">
        <v>108</v>
      </c>
      <c r="N33" s="252" t="s">
        <v>139</v>
      </c>
      <c r="O33" s="43" t="s">
        <v>141</v>
      </c>
      <c r="P33" s="8">
        <v>152</v>
      </c>
      <c r="Q33" s="8">
        <v>30</v>
      </c>
      <c r="R33" s="132">
        <v>26</v>
      </c>
      <c r="S33" s="114">
        <f t="shared" si="0"/>
        <v>0.8666666666666667</v>
      </c>
      <c r="T33" s="252" t="s">
        <v>365</v>
      </c>
      <c r="U33" s="252" t="s">
        <v>362</v>
      </c>
      <c r="V33" s="227">
        <f>30000000+33300000</f>
        <v>63300000</v>
      </c>
      <c r="W33" s="227">
        <f>30000000+30300000</f>
        <v>60300000</v>
      </c>
      <c r="X33" s="226">
        <f>W33/V33</f>
        <v>0.95260663507109</v>
      </c>
      <c r="Y33" s="97" t="s">
        <v>405</v>
      </c>
      <c r="Z33" s="97" t="s">
        <v>375</v>
      </c>
      <c r="AA33" s="135" t="str">
        <f>'[1]PLAN DE ACCION'!AA33</f>
        <v>Se desarrollaron capacitacione en temáticas de: Uso y ahorro Eficiente del Agua, Biodiversidad, Cambio Climatico) en las I.E. Camara Junior, La Povona, Santa Teresa de Jesus, Ciudad Milagro, Ciudadela del Sur, Laura Vicuña, Los Quindos, Olaya Herrera, Republica de Francia y Belen.   Talleres Imaginarios en: Las Colinas, Rufino Centro y Fundanza. Sede la Fachada, Ciudadela Los Quindos, Laura Vicuña, Rufino Sur, Los Quindos sede Rossana Londoño y la Principal, Sede Suldemayda.  Tematicas Codigo de Colores y residuos solidos, uso y ahorro eficiente del agua en la I.E. La Cuyabra.</v>
      </c>
      <c r="AB33" s="312" t="s">
        <v>101</v>
      </c>
    </row>
    <row r="34" spans="1:28" s="1" customFormat="1" ht="45" customHeight="1">
      <c r="A34" s="311"/>
      <c r="B34" s="304"/>
      <c r="C34" s="9"/>
      <c r="D34" s="50"/>
      <c r="E34" s="11"/>
      <c r="F34" s="11"/>
      <c r="G34" s="244"/>
      <c r="H34" s="240"/>
      <c r="I34" s="240"/>
      <c r="J34" s="240"/>
      <c r="K34" s="264"/>
      <c r="L34" s="251"/>
      <c r="M34" s="252"/>
      <c r="N34" s="252"/>
      <c r="O34" s="43" t="s">
        <v>230</v>
      </c>
      <c r="P34" s="8">
        <v>0</v>
      </c>
      <c r="Q34" s="8">
        <v>11</v>
      </c>
      <c r="R34" s="132">
        <v>11</v>
      </c>
      <c r="S34" s="114">
        <f t="shared" si="0"/>
        <v>1</v>
      </c>
      <c r="T34" s="252"/>
      <c r="U34" s="252"/>
      <c r="V34" s="227"/>
      <c r="W34" s="227"/>
      <c r="X34" s="226"/>
      <c r="Y34" s="97" t="s">
        <v>374</v>
      </c>
      <c r="Z34" s="97" t="s">
        <v>375</v>
      </c>
      <c r="AA34" s="135" t="str">
        <f>'[1]PLAN DE ACCION'!AA34</f>
        <v>Se desarrollaron capacitaciones en: Comunidad Guaduales de la Villa, Barrio La Mariela, Barrio El Silencio, La Castilla, Barrio Belen, La Cecilia, Montevideo, Centro Comercial del Café, Tigreros. Talleres Imaginarios en: La Cecilia - Comunidad Indigena Embera Catio.  Temáticas en: Código de colores, residuos solidos y Caracol Africano en Comunidad: Barrio La Patria, La Fachada, Los Quindos, Ciudadela Comfenalco, Ciudadela El Eden y Sector centro con comercio.</v>
      </c>
      <c r="AB34" s="312"/>
    </row>
    <row r="35" spans="1:28" s="1" customFormat="1" ht="45" customHeight="1">
      <c r="A35" s="311"/>
      <c r="B35" s="304"/>
      <c r="C35" s="244" t="s">
        <v>55</v>
      </c>
      <c r="D35" s="244" t="s">
        <v>56</v>
      </c>
      <c r="E35" s="244">
        <v>2</v>
      </c>
      <c r="F35" s="244">
        <v>3</v>
      </c>
      <c r="G35" s="244"/>
      <c r="H35" s="244" t="s">
        <v>57</v>
      </c>
      <c r="I35" s="244" t="s">
        <v>58</v>
      </c>
      <c r="J35" s="244">
        <v>0</v>
      </c>
      <c r="K35" s="262">
        <v>12</v>
      </c>
      <c r="L35" s="251"/>
      <c r="M35" s="252"/>
      <c r="N35" s="252"/>
      <c r="O35" s="43" t="s">
        <v>142</v>
      </c>
      <c r="P35" s="8">
        <v>5</v>
      </c>
      <c r="Q35" s="8">
        <v>2</v>
      </c>
      <c r="R35" s="132">
        <v>2</v>
      </c>
      <c r="S35" s="114">
        <f t="shared" si="0"/>
        <v>1</v>
      </c>
      <c r="T35" s="252" t="s">
        <v>366</v>
      </c>
      <c r="U35" s="252" t="s">
        <v>367</v>
      </c>
      <c r="V35" s="227">
        <v>29100000</v>
      </c>
      <c r="W35" s="227">
        <v>29100000</v>
      </c>
      <c r="X35" s="226">
        <f>W35/V35</f>
        <v>1</v>
      </c>
      <c r="Y35" s="97" t="s">
        <v>374</v>
      </c>
      <c r="Z35" s="97" t="s">
        <v>382</v>
      </c>
      <c r="AA35" s="135" t="str">
        <f>'[1]PLAN DE ACCION'!AA35</f>
        <v>En el primer trimestre se realizo una pieza publicitaria denominada PA´CUIDAR LO NUESTRO formada  por 5 piezas ambientales (Agua, Árboles, Basura, Invasiones y Mascotas), para realizar campaña divulgativa. En el 2do trimestre se desarrolló campaña publicitaria denominada SIETE HÁBITOS PARA CUIDAR EL MEDIO AMBIENTE, la cual contiene 7 videos, que buscan generar en la población habitos para conservacion y preservación del medio ambiente. (videos). Se encuentran en la Página del Alcalde.  Para el 3er trimestre se realizó mesa tematica para la construcción de nuevas piezas publicitarias para la divulgación, manejo y control del caracol africano. Esta campaña tendra el nombre "Armenia es PA TODOS", se soporta con acta de reunión No.489.</v>
      </c>
      <c r="AB35" s="312"/>
    </row>
    <row r="36" spans="1:28" s="1" customFormat="1" ht="47.25" customHeight="1">
      <c r="A36" s="311"/>
      <c r="B36" s="304"/>
      <c r="C36" s="244"/>
      <c r="D36" s="244"/>
      <c r="E36" s="244"/>
      <c r="F36" s="244"/>
      <c r="G36" s="244"/>
      <c r="H36" s="244"/>
      <c r="I36" s="244"/>
      <c r="J36" s="244"/>
      <c r="K36" s="262"/>
      <c r="L36" s="251"/>
      <c r="M36" s="252"/>
      <c r="N36" s="252"/>
      <c r="O36" s="43" t="s">
        <v>143</v>
      </c>
      <c r="P36" s="8">
        <v>0</v>
      </c>
      <c r="Q36" s="8">
        <v>3</v>
      </c>
      <c r="R36" s="132">
        <v>3</v>
      </c>
      <c r="S36" s="114">
        <f t="shared" si="0"/>
        <v>1</v>
      </c>
      <c r="T36" s="252"/>
      <c r="U36" s="252"/>
      <c r="V36" s="227"/>
      <c r="W36" s="227"/>
      <c r="X36" s="226"/>
      <c r="Y36" s="97" t="s">
        <v>374</v>
      </c>
      <c r="Z36" s="97" t="s">
        <v>371</v>
      </c>
      <c r="AA36" s="135" t="str">
        <f>'[1]PLAN DE ACCION'!AA36</f>
        <v>Se identifico el proceda Guaduales de la Villa, Barrio La Esmeralda, Entre Verdes, Barrio Tigreros.  Se brinda apoyo al proceda Guaduales de La Villa en jornada de lipieza, mesa temática para consolidación del proceda Acta. No.490 de septiembre 24 de 2021.</v>
      </c>
      <c r="AB36" s="312"/>
    </row>
    <row r="37" spans="1:28" s="1" customFormat="1" ht="100.5" customHeight="1">
      <c r="A37" s="311"/>
      <c r="B37" s="304"/>
      <c r="C37" s="244" t="s">
        <v>59</v>
      </c>
      <c r="D37" s="244" t="s">
        <v>60</v>
      </c>
      <c r="E37" s="269">
        <v>0.1</v>
      </c>
      <c r="F37" s="269">
        <v>0.3</v>
      </c>
      <c r="G37" s="244" t="s">
        <v>61</v>
      </c>
      <c r="H37" s="244" t="s">
        <v>62</v>
      </c>
      <c r="I37" s="244" t="s">
        <v>63</v>
      </c>
      <c r="J37" s="244">
        <v>0</v>
      </c>
      <c r="K37" s="262">
        <v>1</v>
      </c>
      <c r="L37" s="251" t="s">
        <v>183</v>
      </c>
      <c r="M37" s="252" t="s">
        <v>146</v>
      </c>
      <c r="N37" s="252" t="s">
        <v>263</v>
      </c>
      <c r="O37" s="43" t="s">
        <v>219</v>
      </c>
      <c r="P37" s="8">
        <v>52</v>
      </c>
      <c r="Q37" s="8">
        <v>20</v>
      </c>
      <c r="R37" s="132">
        <v>12</v>
      </c>
      <c r="S37" s="114">
        <f t="shared" si="0"/>
        <v>0.6</v>
      </c>
      <c r="T37" s="252" t="s">
        <v>368</v>
      </c>
      <c r="U37" s="252" t="s">
        <v>369</v>
      </c>
      <c r="V37" s="227">
        <f>30600000+18600000</f>
        <v>49200000</v>
      </c>
      <c r="W37" s="227">
        <f>30600000+16950000</f>
        <v>47550000</v>
      </c>
      <c r="X37" s="226">
        <f>W37/V37</f>
        <v>0.9664634146341463</v>
      </c>
      <c r="Y37" s="97" t="s">
        <v>374</v>
      </c>
      <c r="Z37" s="97" t="s">
        <v>371</v>
      </c>
      <c r="AA37" s="135" t="str">
        <f>'[1]PLAN DE ACCION'!AA37</f>
        <v>En el mes de febrero se realizaron 2 (Parte faltante Quindos y Bolivar bajo (sector la GranColombia)). En marzo se realizaron  2 (Las Americas - La Gallera)-Se llevaron a cabo en Aldea Baja (Sector Parqueaderos de la EPA), Florida Baja, complemento Puerto Rico).  Quintas de Los Andes 29-09-2021, Quintas de Juliana 28-09-2021, Gibraltar 12-07-2021 y La Patria 22-09-2021, San José Bajo 29-09-2021 Frente a Minorista.</v>
      </c>
      <c r="AB37" s="312" t="s">
        <v>101</v>
      </c>
    </row>
    <row r="38" spans="1:28" s="1" customFormat="1" ht="46.5" customHeight="1">
      <c r="A38" s="311"/>
      <c r="B38" s="304"/>
      <c r="C38" s="244"/>
      <c r="D38" s="244"/>
      <c r="E38" s="269"/>
      <c r="F38" s="269"/>
      <c r="G38" s="244"/>
      <c r="H38" s="244"/>
      <c r="I38" s="244"/>
      <c r="J38" s="244"/>
      <c r="K38" s="262"/>
      <c r="L38" s="251"/>
      <c r="M38" s="252"/>
      <c r="N38" s="252"/>
      <c r="O38" s="43" t="s">
        <v>220</v>
      </c>
      <c r="P38" s="8">
        <v>0</v>
      </c>
      <c r="Q38" s="8">
        <v>5</v>
      </c>
      <c r="R38" s="132">
        <v>1</v>
      </c>
      <c r="S38" s="114">
        <f t="shared" si="0"/>
        <v>0.2</v>
      </c>
      <c r="T38" s="252"/>
      <c r="U38" s="252"/>
      <c r="V38" s="227"/>
      <c r="W38" s="227"/>
      <c r="X38" s="226"/>
      <c r="Y38" s="97" t="s">
        <v>374</v>
      </c>
      <c r="Z38" s="97" t="s">
        <v>371</v>
      </c>
      <c r="AA38" s="135" t="str">
        <f>'[1]PLAN DE ACCION'!AA38</f>
        <v>Se reporto al Ministerio  Los Quindos Bajo (Se tiene como evidencia correo electronico y pantallazo de reporte).</v>
      </c>
      <c r="AB38" s="312"/>
    </row>
    <row r="39" spans="1:28" s="1" customFormat="1" ht="76.5" customHeight="1">
      <c r="A39" s="311"/>
      <c r="B39" s="304"/>
      <c r="C39" s="244"/>
      <c r="D39" s="244"/>
      <c r="E39" s="269"/>
      <c r="F39" s="269"/>
      <c r="G39" s="244"/>
      <c r="H39" s="244"/>
      <c r="I39" s="244"/>
      <c r="J39" s="244"/>
      <c r="K39" s="262"/>
      <c r="L39" s="251"/>
      <c r="M39" s="252"/>
      <c r="N39" s="252"/>
      <c r="O39" s="43" t="s">
        <v>231</v>
      </c>
      <c r="P39" s="8">
        <v>1</v>
      </c>
      <c r="Q39" s="8">
        <v>5</v>
      </c>
      <c r="R39" s="132">
        <v>5</v>
      </c>
      <c r="S39" s="114">
        <f t="shared" si="0"/>
        <v>1</v>
      </c>
      <c r="T39" s="252"/>
      <c r="U39" s="252"/>
      <c r="V39" s="227"/>
      <c r="W39" s="227"/>
      <c r="X39" s="226"/>
      <c r="Y39" s="97" t="s">
        <v>374</v>
      </c>
      <c r="Z39" s="97" t="s">
        <v>371</v>
      </c>
      <c r="AA39" s="135" t="str">
        <f>'[1]PLAN DE ACCION'!AA39</f>
        <v>Se llevaron a cabo los sobrevuelos en Aldea Baja (Sector Parqueaderos de la EPA), Florida Baja, complemento Puerto Rico,- La Patria, Quintas de Los Andes y Quintas de Juliana, San José Bajo Frente a Minorista Se da aplicación a los lineamientos normativos del Minvivienda.</v>
      </c>
      <c r="AB39" s="312"/>
    </row>
    <row r="40" spans="1:28" s="1" customFormat="1" ht="84.75" customHeight="1">
      <c r="A40" s="311"/>
      <c r="B40" s="272" t="s">
        <v>64</v>
      </c>
      <c r="C40" s="238">
        <v>11</v>
      </c>
      <c r="D40" s="238" t="s">
        <v>65</v>
      </c>
      <c r="E40" s="241">
        <v>0.5</v>
      </c>
      <c r="F40" s="241">
        <v>0.9</v>
      </c>
      <c r="G40" s="238" t="s">
        <v>66</v>
      </c>
      <c r="H40" s="238" t="s">
        <v>67</v>
      </c>
      <c r="I40" s="238" t="s">
        <v>68</v>
      </c>
      <c r="J40" s="241">
        <v>1</v>
      </c>
      <c r="K40" s="248">
        <v>1</v>
      </c>
      <c r="L40" s="259" t="s">
        <v>185</v>
      </c>
      <c r="M40" s="245" t="s">
        <v>109</v>
      </c>
      <c r="N40" s="245" t="s">
        <v>278</v>
      </c>
      <c r="O40" s="43" t="s">
        <v>119</v>
      </c>
      <c r="P40" s="35">
        <v>1</v>
      </c>
      <c r="Q40" s="35">
        <v>1</v>
      </c>
      <c r="R40" s="146">
        <v>0.98</v>
      </c>
      <c r="S40" s="114">
        <f t="shared" si="0"/>
        <v>0.98</v>
      </c>
      <c r="T40" s="245" t="s">
        <v>339</v>
      </c>
      <c r="U40" s="245" t="s">
        <v>338</v>
      </c>
      <c r="V40" s="256">
        <f>442057720+607993000+400000000+140000000+1009100000</f>
        <v>2599150720</v>
      </c>
      <c r="W40" s="256">
        <f>393997566.95+598200000+933149993.67</f>
        <v>1925347560.62</v>
      </c>
      <c r="X40" s="229">
        <f>W40/V40</f>
        <v>0.7407602590356899</v>
      </c>
      <c r="Y40" s="97" t="s">
        <v>374</v>
      </c>
      <c r="Z40" s="127" t="s">
        <v>383</v>
      </c>
      <c r="AA40" s="133" t="str">
        <f>'[1]PLAN DE ACCION'!AA40</f>
        <v>Durante el periodo se recepcionaron 1743 PQRS,   de los cuales a 1712 que corresponde a respuestas dadas dentro del mismo periodo, lo que corresponde a un 98% del total de las PQRS recibidas. Se hace enfasis en que este % de respuestas durante el periodo arrastra PQRS contestadas que dentro de los tiempos corresponden al periodo anterior. En el 2do Trimestre se recepcionaron 1727 solicitudes, y se dió respuesta a 1085  a tiempo, lo que corresponde al 62,82%.</v>
      </c>
      <c r="AB40" s="253" t="s">
        <v>101</v>
      </c>
    </row>
    <row r="41" spans="1:28" s="1" customFormat="1" ht="81" customHeight="1">
      <c r="A41" s="311"/>
      <c r="B41" s="273"/>
      <c r="C41" s="239"/>
      <c r="D41" s="239"/>
      <c r="E41" s="242"/>
      <c r="F41" s="242"/>
      <c r="G41" s="239"/>
      <c r="H41" s="239"/>
      <c r="I41" s="239"/>
      <c r="J41" s="242"/>
      <c r="K41" s="249"/>
      <c r="L41" s="260"/>
      <c r="M41" s="246"/>
      <c r="N41" s="246"/>
      <c r="O41" s="44" t="s">
        <v>297</v>
      </c>
      <c r="P41" s="35">
        <v>1</v>
      </c>
      <c r="Q41" s="35">
        <v>1</v>
      </c>
      <c r="R41" s="146">
        <v>0.9</v>
      </c>
      <c r="S41" s="114">
        <f t="shared" si="0"/>
        <v>0.9</v>
      </c>
      <c r="T41" s="246"/>
      <c r="U41" s="246"/>
      <c r="V41" s="257"/>
      <c r="W41" s="257"/>
      <c r="X41" s="230"/>
      <c r="Y41" s="127" t="s">
        <v>384</v>
      </c>
      <c r="Z41" s="127" t="s">
        <v>385</v>
      </c>
      <c r="AA41" s="137" t="str">
        <f>'[1]PLAN DE ACCION'!AA41</f>
        <v>Se han realizado 979 visitas de Inspección normas urbanisticas de control  y grandes obras </v>
      </c>
      <c r="AB41" s="254"/>
    </row>
    <row r="42" spans="1:28" s="1" customFormat="1" ht="76.5">
      <c r="A42" s="311"/>
      <c r="B42" s="273"/>
      <c r="C42" s="239"/>
      <c r="D42" s="239"/>
      <c r="E42" s="242"/>
      <c r="F42" s="242"/>
      <c r="G42" s="239"/>
      <c r="H42" s="239"/>
      <c r="I42" s="239"/>
      <c r="J42" s="242"/>
      <c r="K42" s="249"/>
      <c r="L42" s="260"/>
      <c r="M42" s="246"/>
      <c r="N42" s="246"/>
      <c r="O42" s="43" t="s">
        <v>147</v>
      </c>
      <c r="P42" s="35">
        <v>1</v>
      </c>
      <c r="Q42" s="35">
        <v>1</v>
      </c>
      <c r="R42" s="146">
        <v>1</v>
      </c>
      <c r="S42" s="114">
        <f t="shared" si="0"/>
        <v>1</v>
      </c>
      <c r="T42" s="246"/>
      <c r="U42" s="246"/>
      <c r="V42" s="257"/>
      <c r="W42" s="257"/>
      <c r="X42" s="230"/>
      <c r="Y42" s="97" t="s">
        <v>374</v>
      </c>
      <c r="Z42" s="127" t="s">
        <v>383</v>
      </c>
      <c r="AA42" s="138" t="str">
        <f>'[1]PLAN DE ACCION'!AA42</f>
        <v>En el 1er trimestre fueron remitidas por incumplimiento de normatividad 43  Visitas Técnicas (13 Inspección 8a y 30 Inspección C.U), Total 43. En el 2do trimestre a la Inspeccion 8va (9),  Inspección C.U (26) Visitas Técnicas por la comisión de Infracciones Urbanisticas.  Total:35 ///  En el 3er Trimestre (26 Insp.8va - Insp. C.U. 5)=31. TOTAL=109</v>
      </c>
      <c r="AB42" s="254"/>
    </row>
    <row r="43" spans="1:30" s="1" customFormat="1" ht="86.25" customHeight="1">
      <c r="A43" s="311"/>
      <c r="B43" s="273"/>
      <c r="C43" s="239"/>
      <c r="D43" s="239"/>
      <c r="E43" s="242"/>
      <c r="F43" s="242"/>
      <c r="G43" s="239"/>
      <c r="H43" s="239"/>
      <c r="I43" s="239"/>
      <c r="J43" s="242"/>
      <c r="K43" s="249"/>
      <c r="L43" s="260"/>
      <c r="M43" s="246"/>
      <c r="N43" s="246"/>
      <c r="O43" s="43" t="s">
        <v>163</v>
      </c>
      <c r="P43" s="35">
        <v>1</v>
      </c>
      <c r="Q43" s="35">
        <v>1</v>
      </c>
      <c r="R43" s="146">
        <v>0.7</v>
      </c>
      <c r="S43" s="114">
        <f t="shared" si="0"/>
        <v>0.7</v>
      </c>
      <c r="T43" s="246"/>
      <c r="U43" s="246"/>
      <c r="V43" s="257"/>
      <c r="W43" s="257"/>
      <c r="X43" s="230"/>
      <c r="Y43" s="127" t="s">
        <v>386</v>
      </c>
      <c r="Z43" s="128" t="s">
        <v>387</v>
      </c>
      <c r="AA43" s="139" t="str">
        <f>'[1]PLAN DE ACCION'!AA43</f>
        <v>En el 1er trimestre se realizaron 66 visitas de control de obras tanto pequeñas como grandes. Segundo trimestre 17 visitas de acuerdo a cronograma de trabajo e información suministrada por las respectivas curadurias. En el 3er Trimestre 14 Inspección Control y 4 Grandes Obras. Quienes han cumplido TOTAL:101 </v>
      </c>
      <c r="AB43" s="254"/>
      <c r="AD43" s="34"/>
    </row>
    <row r="44" spans="1:28" s="1" customFormat="1" ht="84" customHeight="1">
      <c r="A44" s="311"/>
      <c r="B44" s="273"/>
      <c r="C44" s="239"/>
      <c r="D44" s="239"/>
      <c r="E44" s="242"/>
      <c r="F44" s="242"/>
      <c r="G44" s="239"/>
      <c r="H44" s="239"/>
      <c r="I44" s="239"/>
      <c r="J44" s="242"/>
      <c r="K44" s="249"/>
      <c r="L44" s="260"/>
      <c r="M44" s="246"/>
      <c r="N44" s="246"/>
      <c r="O44" s="43" t="s">
        <v>120</v>
      </c>
      <c r="P44" s="8">
        <v>0</v>
      </c>
      <c r="Q44" s="8">
        <v>4</v>
      </c>
      <c r="R44" s="132">
        <v>1</v>
      </c>
      <c r="S44" s="114">
        <f t="shared" si="0"/>
        <v>0.25</v>
      </c>
      <c r="T44" s="246"/>
      <c r="U44" s="246"/>
      <c r="V44" s="257"/>
      <c r="W44" s="257"/>
      <c r="X44" s="230"/>
      <c r="Y44" s="97" t="s">
        <v>374</v>
      </c>
      <c r="Z44" s="127" t="s">
        <v>383</v>
      </c>
      <c r="AA44" s="140" t="str">
        <f>'[1]PLAN DE ACCION'!AA44</f>
        <v>Se llevo a cabo la socialización del informe con la comision de veedurias ciudadanas, correspondiente a visitas de control y vigilancia a licencias de construcción.</v>
      </c>
      <c r="AB44" s="254"/>
    </row>
    <row r="45" spans="1:28" s="1" customFormat="1" ht="55.5" customHeight="1">
      <c r="A45" s="311"/>
      <c r="B45" s="273"/>
      <c r="C45" s="239"/>
      <c r="D45" s="239"/>
      <c r="E45" s="242"/>
      <c r="F45" s="242"/>
      <c r="G45" s="239"/>
      <c r="H45" s="239"/>
      <c r="I45" s="239"/>
      <c r="J45" s="242"/>
      <c r="K45" s="249"/>
      <c r="L45" s="260"/>
      <c r="M45" s="246"/>
      <c r="N45" s="246"/>
      <c r="O45" s="43" t="s">
        <v>148</v>
      </c>
      <c r="P45" s="35">
        <v>1</v>
      </c>
      <c r="Q45" s="35">
        <v>1</v>
      </c>
      <c r="R45" s="146">
        <v>1</v>
      </c>
      <c r="S45" s="114">
        <f t="shared" si="0"/>
        <v>1</v>
      </c>
      <c r="T45" s="246"/>
      <c r="U45" s="246"/>
      <c r="V45" s="257"/>
      <c r="W45" s="257"/>
      <c r="X45" s="230"/>
      <c r="Y45" s="97" t="s">
        <v>374</v>
      </c>
      <c r="Z45" s="127" t="s">
        <v>383</v>
      </c>
      <c r="AA45" s="140" t="str">
        <f>'[1]PLAN DE ACCION'!AA45</f>
        <v>En el proceso de control y vigilancia a las Licencias otorgadas, se logró determinar que de acuerdo a las visitas de oficio, estas cumplieron tecnicamente con lo licenciado según las resoluciones emitadas por las respectivas curadurias</v>
      </c>
      <c r="AB45" s="254"/>
    </row>
    <row r="46" spans="1:28" s="1" customFormat="1" ht="91.5" customHeight="1">
      <c r="A46" s="311"/>
      <c r="B46" s="273"/>
      <c r="C46" s="239"/>
      <c r="D46" s="239"/>
      <c r="E46" s="242"/>
      <c r="F46" s="242"/>
      <c r="G46" s="239"/>
      <c r="H46" s="239"/>
      <c r="I46" s="239"/>
      <c r="J46" s="242"/>
      <c r="K46" s="249"/>
      <c r="L46" s="260"/>
      <c r="M46" s="246"/>
      <c r="N46" s="246"/>
      <c r="O46" s="43" t="s">
        <v>232</v>
      </c>
      <c r="P46" s="35">
        <v>1</v>
      </c>
      <c r="Q46" s="35">
        <v>1</v>
      </c>
      <c r="R46" s="146">
        <v>0.75</v>
      </c>
      <c r="S46" s="114">
        <f t="shared" si="0"/>
        <v>0.75</v>
      </c>
      <c r="T46" s="246"/>
      <c r="U46" s="246"/>
      <c r="V46" s="257"/>
      <c r="W46" s="257"/>
      <c r="X46" s="230"/>
      <c r="Y46" s="97" t="s">
        <v>374</v>
      </c>
      <c r="Z46" s="127" t="s">
        <v>383</v>
      </c>
      <c r="AA46" s="140" t="str">
        <f>'[1]PLAN DE ACCION'!AA46</f>
        <v>Entrega de documentacion para  archivo de los oficios que han sido recibidos por los peticionarios en las diferntes solicitudes en el proceso 3.de control urbano  en conformidad con la ley de archivo.</v>
      </c>
      <c r="AB46" s="254"/>
    </row>
    <row r="47" spans="1:28" s="1" customFormat="1" ht="104.25" customHeight="1">
      <c r="A47" s="311"/>
      <c r="B47" s="273"/>
      <c r="C47" s="239"/>
      <c r="D47" s="239"/>
      <c r="E47" s="242"/>
      <c r="F47" s="242"/>
      <c r="G47" s="239"/>
      <c r="H47" s="239"/>
      <c r="I47" s="239"/>
      <c r="J47" s="242"/>
      <c r="K47" s="249"/>
      <c r="L47" s="260"/>
      <c r="M47" s="246"/>
      <c r="N47" s="246"/>
      <c r="O47" s="43" t="s">
        <v>313</v>
      </c>
      <c r="P47" s="40">
        <v>0</v>
      </c>
      <c r="Q47" s="35">
        <v>0.05</v>
      </c>
      <c r="R47" s="146">
        <v>0.02</v>
      </c>
      <c r="S47" s="114">
        <f t="shared" si="0"/>
        <v>0.39999999999999997</v>
      </c>
      <c r="T47" s="246"/>
      <c r="U47" s="246"/>
      <c r="V47" s="257"/>
      <c r="W47" s="257"/>
      <c r="X47" s="230"/>
      <c r="Y47" s="129" t="s">
        <v>374</v>
      </c>
      <c r="Z47" s="127" t="s">
        <v>380</v>
      </c>
      <c r="AA47" s="133" t="str">
        <f>'[1]PLAN DE ACCION'!AA47</f>
        <v>Se llevó a cabo el proceso contractual DAJ-CM-003-2021 para realizar consultoría con objeto: "Estudios y acompañamiento especializado orientado a la modificación excepcional de normal urbanísticas del plan de ordenamiento territorial del municipio de Armenia". Dentro de las obligaciones especificas del consultor se tiene abordar los tratamientos urbanisticos y definir en las fichas normativas aspectos como la intensidad, mescla de usos y edificabilidad.</v>
      </c>
      <c r="AB47" s="254"/>
    </row>
    <row r="48" spans="1:28" s="1" customFormat="1" ht="57">
      <c r="A48" s="311"/>
      <c r="B48" s="273"/>
      <c r="C48" s="240"/>
      <c r="D48" s="240"/>
      <c r="E48" s="243"/>
      <c r="F48" s="243"/>
      <c r="G48" s="239"/>
      <c r="H48" s="240"/>
      <c r="I48" s="240"/>
      <c r="J48" s="243"/>
      <c r="K48" s="250"/>
      <c r="L48" s="261"/>
      <c r="M48" s="247"/>
      <c r="N48" s="247"/>
      <c r="O48" s="67" t="s">
        <v>312</v>
      </c>
      <c r="P48" s="40">
        <v>0</v>
      </c>
      <c r="Q48" s="35">
        <v>1</v>
      </c>
      <c r="R48" s="146">
        <v>1</v>
      </c>
      <c r="S48" s="114">
        <f t="shared" si="0"/>
        <v>1</v>
      </c>
      <c r="T48" s="247"/>
      <c r="U48" s="247"/>
      <c r="V48" s="258"/>
      <c r="W48" s="258"/>
      <c r="X48" s="231"/>
      <c r="Y48" s="126"/>
      <c r="Z48" s="126" t="s">
        <v>406</v>
      </c>
      <c r="AA48" s="141" t="str">
        <f>'[1]PLAN DE ACCION'!AA48</f>
        <v>En el proceso de control a Constructoras, se ha observado incumplimiento por parte de:  6 constructoras a las cuales se les abrió los procesos: 001-003-004-005-006-007 de 2021. Se han intervenido dos Constructoras conforme al Decreto 357/2020.</v>
      </c>
      <c r="AB48" s="255"/>
    </row>
    <row r="49" spans="1:28" s="1" customFormat="1" ht="64.5" customHeight="1">
      <c r="A49" s="311"/>
      <c r="B49" s="273"/>
      <c r="C49" s="244">
        <v>16</v>
      </c>
      <c r="D49" s="238" t="s">
        <v>65</v>
      </c>
      <c r="E49" s="244">
        <v>0</v>
      </c>
      <c r="F49" s="269">
        <v>0.8</v>
      </c>
      <c r="G49" s="239"/>
      <c r="H49" s="265" t="s">
        <v>69</v>
      </c>
      <c r="I49" s="300" t="s">
        <v>70</v>
      </c>
      <c r="J49" s="244">
        <v>0</v>
      </c>
      <c r="K49" s="262">
        <v>1</v>
      </c>
      <c r="L49" s="259" t="s">
        <v>187</v>
      </c>
      <c r="M49" s="245" t="s">
        <v>110</v>
      </c>
      <c r="N49" s="245" t="s">
        <v>186</v>
      </c>
      <c r="O49" s="43" t="s">
        <v>122</v>
      </c>
      <c r="P49" s="10">
        <v>0.7</v>
      </c>
      <c r="Q49" s="10">
        <v>0.3</v>
      </c>
      <c r="R49" s="147">
        <v>0.27</v>
      </c>
      <c r="S49" s="114">
        <f t="shared" si="0"/>
        <v>0.9000000000000001</v>
      </c>
      <c r="T49" s="245" t="s">
        <v>340</v>
      </c>
      <c r="U49" s="245" t="s">
        <v>341</v>
      </c>
      <c r="V49" s="232">
        <f>57000000+12000000</f>
        <v>69000000</v>
      </c>
      <c r="W49" s="232">
        <f>57000000+12000000</f>
        <v>69000000</v>
      </c>
      <c r="X49" s="229">
        <f>W49/V49</f>
        <v>1</v>
      </c>
      <c r="Y49" s="129" t="s">
        <v>374</v>
      </c>
      <c r="Z49" s="127" t="s">
        <v>380</v>
      </c>
      <c r="AA49" s="135" t="str">
        <f>'[1]PLAN DE ACCION'!AA49</f>
        <v>Para el diagnostico de PEV en el primer trimestre se establecio como ruta cuatro lineas.  1- Datos Generales, 2-Tecnica de recolección de información, 3- Consolidación del Documento. 4- Difusión y socialización), se ha realizado la estructuración de los datos generales y tecnica de recolección de información, la cual se ha obtenido con información de la base de datos de PEV de la Administración, visitas tecnicas para la caracterización  de las vallas. Se tiene versión preliminar en formato de Word (El Manual de Publicidad Exterior Visual); tomado del Decreto Municipal 063 de 2013 y en este se incluye PEV que no se encuentra reglamentada en el Municipio.
</v>
      </c>
      <c r="AB49" s="253" t="s">
        <v>101</v>
      </c>
    </row>
    <row r="50" spans="1:28" s="1" customFormat="1" ht="60.75" customHeight="1">
      <c r="A50" s="311"/>
      <c r="B50" s="273"/>
      <c r="C50" s="244"/>
      <c r="D50" s="239"/>
      <c r="E50" s="244"/>
      <c r="F50" s="269"/>
      <c r="G50" s="239"/>
      <c r="H50" s="266"/>
      <c r="I50" s="300"/>
      <c r="J50" s="244"/>
      <c r="K50" s="262"/>
      <c r="L50" s="260"/>
      <c r="M50" s="246"/>
      <c r="N50" s="246"/>
      <c r="O50" s="43" t="s">
        <v>123</v>
      </c>
      <c r="P50" s="10">
        <v>1</v>
      </c>
      <c r="Q50" s="10">
        <v>1</v>
      </c>
      <c r="R50" s="46">
        <v>0.5</v>
      </c>
      <c r="S50" s="114">
        <f t="shared" si="0"/>
        <v>0.5</v>
      </c>
      <c r="T50" s="246"/>
      <c r="U50" s="246"/>
      <c r="V50" s="233"/>
      <c r="W50" s="233"/>
      <c r="X50" s="230"/>
      <c r="Y50" s="129" t="s">
        <v>374</v>
      </c>
      <c r="Z50" s="127" t="s">
        <v>380</v>
      </c>
      <c r="AA50" s="135" t="str">
        <f>'[1]PLAN DE ACCION'!AA50</f>
        <v>En el primer trimestre se realizó comparativo entre el Decreto 063 de 2013 y el Manual de Publicidad Exterior Visual propuesto; evidenciando asi vacios frente al tema de la variedad de publicidad exterior instalada en el muncipio la cual no se encuentra reglamentada en el Decreto.-  En el segundo trimestre se tomo de base el inicial y se complementó efectuando la incorporación de normatividad que estaba por fuera del manual, teniendo en cuenta la Ley 140/94, Acuerdo Municipal 01/07/12 para terminar con el Decreto Municipal 063/13.  y complementando con un gráfico explicativo. (Soprte en archivo excel).</v>
      </c>
      <c r="AB50" s="254"/>
    </row>
    <row r="51" spans="1:28" s="1" customFormat="1" ht="61.5" customHeight="1">
      <c r="A51" s="311"/>
      <c r="B51" s="273"/>
      <c r="C51" s="244"/>
      <c r="D51" s="239"/>
      <c r="E51" s="244"/>
      <c r="F51" s="269"/>
      <c r="G51" s="239"/>
      <c r="H51" s="266"/>
      <c r="I51" s="300"/>
      <c r="J51" s="244"/>
      <c r="K51" s="262"/>
      <c r="L51" s="260"/>
      <c r="M51" s="246"/>
      <c r="N51" s="246"/>
      <c r="O51" s="43" t="s">
        <v>124</v>
      </c>
      <c r="P51" s="10">
        <v>0.5</v>
      </c>
      <c r="Q51" s="10">
        <v>0.5</v>
      </c>
      <c r="R51" s="46">
        <v>0.18</v>
      </c>
      <c r="S51" s="114">
        <f t="shared" si="0"/>
        <v>0.36</v>
      </c>
      <c r="T51" s="246"/>
      <c r="U51" s="246"/>
      <c r="V51" s="233"/>
      <c r="W51" s="233"/>
      <c r="X51" s="230"/>
      <c r="Y51" s="129" t="s">
        <v>374</v>
      </c>
      <c r="Z51" s="127" t="s">
        <v>371</v>
      </c>
      <c r="AA51" s="135" t="str">
        <f>'[1]PLAN DE ACCION'!AA51</f>
        <v>Se cuenta con todos los soportes documentales de la revisión y ajuste del proceso de armonización y normatividad vigente sobre el tema de PEV, se ha enfocado en sensibilización a los comeciantes encuanto a Avisos y Tableros. (información soportada en archivo de Excel).</v>
      </c>
      <c r="AB51" s="254"/>
    </row>
    <row r="52" spans="1:28" s="1" customFormat="1" ht="88.5" customHeight="1">
      <c r="A52" s="311"/>
      <c r="B52" s="273"/>
      <c r="C52" s="244"/>
      <c r="D52" s="239"/>
      <c r="E52" s="244"/>
      <c r="F52" s="269"/>
      <c r="G52" s="239"/>
      <c r="H52" s="266"/>
      <c r="I52" s="300"/>
      <c r="J52" s="244"/>
      <c r="K52" s="262"/>
      <c r="L52" s="260"/>
      <c r="M52" s="246"/>
      <c r="N52" s="246"/>
      <c r="O52" s="43" t="s">
        <v>125</v>
      </c>
      <c r="P52" s="10">
        <v>1</v>
      </c>
      <c r="Q52" s="10">
        <v>1</v>
      </c>
      <c r="R52" s="46">
        <v>0.8</v>
      </c>
      <c r="S52" s="114">
        <f t="shared" si="0"/>
        <v>0.8</v>
      </c>
      <c r="T52" s="246"/>
      <c r="U52" s="246"/>
      <c r="V52" s="233"/>
      <c r="W52" s="233"/>
      <c r="X52" s="230"/>
      <c r="Y52" s="97" t="s">
        <v>388</v>
      </c>
      <c r="Z52" s="97" t="s">
        <v>389</v>
      </c>
      <c r="AA52" s="135" t="str">
        <f>'[1]PLAN DE ACCION'!AA52</f>
        <v>Se viene dando cumplimiento con el proceso de gestión documental  generada en el presente año, se encuentra debidamente archivada, dando cumplimiento a la Ley General de Archivo y Tablas de Retención Documental vigentes. Pendiente para entrega al archivo de la Dependencia.</v>
      </c>
      <c r="AB52" s="254"/>
    </row>
    <row r="53" spans="1:28" s="1" customFormat="1" ht="81" customHeight="1">
      <c r="A53" s="311"/>
      <c r="B53" s="273"/>
      <c r="C53" s="238">
        <v>11</v>
      </c>
      <c r="D53" s="239"/>
      <c r="E53" s="238">
        <v>0</v>
      </c>
      <c r="F53" s="241">
        <v>0.8</v>
      </c>
      <c r="G53" s="239"/>
      <c r="H53" s="266"/>
      <c r="I53" s="320" t="s">
        <v>280</v>
      </c>
      <c r="J53" s="238">
        <v>0</v>
      </c>
      <c r="K53" s="313">
        <v>1</v>
      </c>
      <c r="L53" s="260"/>
      <c r="M53" s="246"/>
      <c r="N53" s="246"/>
      <c r="O53" s="43" t="s">
        <v>126</v>
      </c>
      <c r="P53" s="10">
        <v>0</v>
      </c>
      <c r="Q53" s="10">
        <v>0.15</v>
      </c>
      <c r="R53" s="46">
        <v>0.03</v>
      </c>
      <c r="S53" s="114">
        <f t="shared" si="0"/>
        <v>0.2</v>
      </c>
      <c r="T53" s="246"/>
      <c r="U53" s="246"/>
      <c r="V53" s="233"/>
      <c r="W53" s="233"/>
      <c r="X53" s="230"/>
      <c r="Y53" s="97" t="s">
        <v>374</v>
      </c>
      <c r="Z53" s="97" t="s">
        <v>380</v>
      </c>
      <c r="AA53" s="135" t="str">
        <f>'[1]PLAN DE ACCION'!AA53</f>
        <v>en el 1er trimestre se genero documento relacionado con la comparacion de las normas el cual se sometera a revision por el equipo juridico. En el 2do trimestre el proceso se encuentra a la espera de realizar reunion con la EDUA debido a que se expidio el Decreto 139/2021, el cual Reglamenta la Ocupación del Espacio Público y traslada el proceso a la EDUA.</v>
      </c>
      <c r="AB53" s="254"/>
    </row>
    <row r="54" spans="1:28" s="1" customFormat="1" ht="45.75" customHeight="1">
      <c r="A54" s="311"/>
      <c r="B54" s="273"/>
      <c r="C54" s="240"/>
      <c r="D54" s="239"/>
      <c r="E54" s="240"/>
      <c r="F54" s="243"/>
      <c r="G54" s="239"/>
      <c r="H54" s="266"/>
      <c r="I54" s="321"/>
      <c r="J54" s="240"/>
      <c r="K54" s="315"/>
      <c r="L54" s="260"/>
      <c r="M54" s="246"/>
      <c r="N54" s="246"/>
      <c r="O54" s="43" t="s">
        <v>149</v>
      </c>
      <c r="P54" s="10">
        <v>0</v>
      </c>
      <c r="Q54" s="10">
        <v>1</v>
      </c>
      <c r="R54" s="46">
        <v>0.8</v>
      </c>
      <c r="S54" s="114">
        <f t="shared" si="0"/>
        <v>0.8</v>
      </c>
      <c r="T54" s="246"/>
      <c r="U54" s="246"/>
      <c r="V54" s="233"/>
      <c r="W54" s="233"/>
      <c r="X54" s="230"/>
      <c r="Y54" s="97" t="s">
        <v>390</v>
      </c>
      <c r="Z54" s="97" t="s">
        <v>391</v>
      </c>
      <c r="AA54" s="135" t="str">
        <f>'[1]PLAN DE ACCION'!AA54</f>
        <v>Se tiene toda la documentación generada debidamente archivada, en cumplimiento a la Ley General de Archivo y Tablas de Retención Documental del proceso de AEEP.  </v>
      </c>
      <c r="AB54" s="254"/>
    </row>
    <row r="55" spans="1:28" s="1" customFormat="1" ht="127.5">
      <c r="A55" s="311"/>
      <c r="B55" s="273"/>
      <c r="C55" s="9">
        <v>11</v>
      </c>
      <c r="D55" s="239"/>
      <c r="E55" s="9">
        <v>0</v>
      </c>
      <c r="F55" s="11">
        <v>0.8</v>
      </c>
      <c r="G55" s="239"/>
      <c r="H55" s="266"/>
      <c r="I55" s="53" t="s">
        <v>281</v>
      </c>
      <c r="J55" s="9">
        <v>0</v>
      </c>
      <c r="K55" s="48">
        <v>1</v>
      </c>
      <c r="L55" s="260"/>
      <c r="M55" s="246"/>
      <c r="N55" s="246"/>
      <c r="O55" s="43" t="s">
        <v>164</v>
      </c>
      <c r="P55" s="10">
        <v>0.8</v>
      </c>
      <c r="Q55" s="10">
        <v>0.2</v>
      </c>
      <c r="R55" s="46">
        <v>0.14</v>
      </c>
      <c r="S55" s="114">
        <f t="shared" si="0"/>
        <v>0.7000000000000001</v>
      </c>
      <c r="T55" s="246"/>
      <c r="U55" s="246"/>
      <c r="V55" s="233"/>
      <c r="W55" s="233"/>
      <c r="X55" s="230"/>
      <c r="Y55" s="97" t="s">
        <v>374</v>
      </c>
      <c r="Z55" s="97" t="s">
        <v>371</v>
      </c>
      <c r="AA55" s="135" t="str">
        <f>'[1]PLAN DE ACCION'!AA55</f>
        <v>Primer trimestre se efectuo la revision del manual de arbol urbano enfocado hacia las normas y politicas relacionadas con la publicidad exterior visual, frente a la planificaución, el orden y el desarrollo ornamental del Municipio de Armenia.-  En el segundo trimestre se realizo reunion para ajustar temas entre la Armoniación del Arbol Urbano en la Publicidad Exterior Visual, pero ya se cuenta con el documento de la versión preliminar. //// En este trimestre se realizo reunión con el area ambiental para la arminonización del arbol urbano con la publicidad exterior visual, e incluirla en el documento.</v>
      </c>
      <c r="AB55" s="254"/>
    </row>
    <row r="56" spans="1:28" s="1" customFormat="1" ht="51">
      <c r="A56" s="311"/>
      <c r="B56" s="273"/>
      <c r="C56" s="9">
        <v>11</v>
      </c>
      <c r="D56" s="239"/>
      <c r="E56" s="9">
        <v>0</v>
      </c>
      <c r="F56" s="11">
        <v>0.8</v>
      </c>
      <c r="G56" s="239"/>
      <c r="H56" s="266"/>
      <c r="I56" s="53" t="s">
        <v>282</v>
      </c>
      <c r="J56" s="9">
        <v>0</v>
      </c>
      <c r="K56" s="48">
        <v>1</v>
      </c>
      <c r="L56" s="260"/>
      <c r="M56" s="246"/>
      <c r="N56" s="246"/>
      <c r="O56" s="43" t="s">
        <v>282</v>
      </c>
      <c r="P56" s="33">
        <v>0</v>
      </c>
      <c r="Q56" s="33">
        <v>1</v>
      </c>
      <c r="R56" s="148">
        <v>0.5</v>
      </c>
      <c r="S56" s="114">
        <f t="shared" si="0"/>
        <v>0.5</v>
      </c>
      <c r="T56" s="246"/>
      <c r="U56" s="246"/>
      <c r="V56" s="233"/>
      <c r="W56" s="233"/>
      <c r="X56" s="230"/>
      <c r="Y56" s="97" t="s">
        <v>374</v>
      </c>
      <c r="Z56" s="97" t="s">
        <v>371</v>
      </c>
      <c r="AA56" s="135" t="str">
        <f>'[1]PLAN DE ACCION'!AA56</f>
        <v>Se han realizado acciones con la caracterización del proceso, analisis del instructivo para la reglamentación del proceso de areas de cesión a fin de elaborar la respectiva ruta.</v>
      </c>
      <c r="AB56" s="254"/>
    </row>
    <row r="57" spans="1:28" s="1" customFormat="1" ht="51">
      <c r="A57" s="311"/>
      <c r="B57" s="273"/>
      <c r="C57" s="9">
        <v>11</v>
      </c>
      <c r="D57" s="240"/>
      <c r="E57" s="9">
        <v>0</v>
      </c>
      <c r="F57" s="11">
        <v>0.8</v>
      </c>
      <c r="G57" s="239"/>
      <c r="H57" s="267"/>
      <c r="I57" s="53" t="s">
        <v>283</v>
      </c>
      <c r="J57" s="9">
        <v>0</v>
      </c>
      <c r="K57" s="48">
        <v>1</v>
      </c>
      <c r="L57" s="261"/>
      <c r="M57" s="247"/>
      <c r="N57" s="247"/>
      <c r="O57" s="43" t="s">
        <v>283</v>
      </c>
      <c r="P57" s="33">
        <v>0</v>
      </c>
      <c r="Q57" s="33">
        <v>1</v>
      </c>
      <c r="R57" s="149">
        <v>0</v>
      </c>
      <c r="S57" s="114">
        <f t="shared" si="0"/>
        <v>0</v>
      </c>
      <c r="T57" s="247"/>
      <c r="U57" s="247"/>
      <c r="V57" s="234"/>
      <c r="W57" s="234"/>
      <c r="X57" s="231"/>
      <c r="Y57" s="97"/>
      <c r="Z57" s="97"/>
      <c r="AA57" s="135" t="str">
        <f>'[1]PLAN DE ACCION'!AA57</f>
        <v>No se registran acciones </v>
      </c>
      <c r="AB57" s="255"/>
    </row>
    <row r="58" spans="1:28" s="1" customFormat="1" ht="161.25" customHeight="1">
      <c r="A58" s="311"/>
      <c r="B58" s="273"/>
      <c r="C58" s="244">
        <v>16</v>
      </c>
      <c r="D58" s="244" t="s">
        <v>65</v>
      </c>
      <c r="E58" s="244">
        <v>0</v>
      </c>
      <c r="F58" s="269">
        <v>0.7</v>
      </c>
      <c r="G58" s="239"/>
      <c r="H58" s="265" t="s">
        <v>69</v>
      </c>
      <c r="I58" s="300" t="s">
        <v>190</v>
      </c>
      <c r="J58" s="244">
        <v>0</v>
      </c>
      <c r="K58" s="262">
        <v>1</v>
      </c>
      <c r="L58" s="251" t="s">
        <v>189</v>
      </c>
      <c r="M58" s="252" t="s">
        <v>111</v>
      </c>
      <c r="N58" s="252" t="s">
        <v>188</v>
      </c>
      <c r="O58" s="43" t="s">
        <v>233</v>
      </c>
      <c r="P58" s="10">
        <v>0</v>
      </c>
      <c r="Q58" s="10">
        <v>0.5</v>
      </c>
      <c r="R58" s="46">
        <v>0.25</v>
      </c>
      <c r="S58" s="114">
        <f t="shared" si="0"/>
        <v>0.5</v>
      </c>
      <c r="T58" s="252" t="s">
        <v>270</v>
      </c>
      <c r="U58" s="252" t="s">
        <v>209</v>
      </c>
      <c r="V58" s="227">
        <v>0</v>
      </c>
      <c r="W58" s="227">
        <v>0</v>
      </c>
      <c r="X58" s="228">
        <v>0</v>
      </c>
      <c r="Y58" s="97" t="s">
        <v>374</v>
      </c>
      <c r="Z58" s="97" t="s">
        <v>392</v>
      </c>
      <c r="AA58" s="138" t="str">
        <f>'[1]PLAN DE ACCION'!AA58</f>
        <v>Se han identificado los actores prioritarios para explorar, analizar y replantear los problemas urbanos, los cuales estan dados por los siguientes: CAMACOL. SOCIEDAD DE ARQUITECTOS, ACADEMIA, CAMARA DE COMERCIO, FORO DE GEERENTES, con los cuales se han realizado las reuniones necesarias para obtener un diagnósotico sobre la movilidad,  infraestructura, vias, asesntamiento subnormales entre otros.Se ha generado información relacionada con la implementación de Sisben IV, lo mismo que la Implementación del proceso de estratificacion a corde a las metodologias del DAP.</v>
      </c>
      <c r="AB58" s="312" t="s">
        <v>101</v>
      </c>
    </row>
    <row r="59" spans="1:28" s="1" customFormat="1" ht="117" customHeight="1">
      <c r="A59" s="311"/>
      <c r="B59" s="273"/>
      <c r="C59" s="244"/>
      <c r="D59" s="244"/>
      <c r="E59" s="244"/>
      <c r="F59" s="269"/>
      <c r="G59" s="239"/>
      <c r="H59" s="266"/>
      <c r="I59" s="300"/>
      <c r="J59" s="244"/>
      <c r="K59" s="262"/>
      <c r="L59" s="251"/>
      <c r="M59" s="252"/>
      <c r="N59" s="252"/>
      <c r="O59" s="43" t="s">
        <v>234</v>
      </c>
      <c r="P59" s="8">
        <v>0</v>
      </c>
      <c r="Q59" s="10">
        <v>0.5</v>
      </c>
      <c r="R59" s="46">
        <v>0.07</v>
      </c>
      <c r="S59" s="114">
        <f t="shared" si="0"/>
        <v>0.14</v>
      </c>
      <c r="T59" s="252"/>
      <c r="U59" s="252"/>
      <c r="V59" s="227"/>
      <c r="W59" s="227"/>
      <c r="X59" s="228"/>
      <c r="Y59" s="97" t="s">
        <v>374</v>
      </c>
      <c r="Z59" s="97" t="s">
        <v>392</v>
      </c>
      <c r="AA59" s="138" t="str">
        <f>'[1]PLAN DE ACCION'!AA59</f>
        <v>Se realizó una reunión con CAMACOL y se hizo parte del Foro Económico Sectorial, Construimos la activación de las regiones, en el cual el alcalde y el director de planeación presentaron 5 estrategias de que se quiere hacer con el ordenamiento territorial de armenia. 1. Modificación excepcional de norma urbanística del POT. 2. Reglamentación del Plan de Ordenamiento Zonal de la Av. Centenario. 3. estructuración de manuales urbanos 4. reglamentación de cesiones 5. estructuración expediente municipal de Armenia.</v>
      </c>
      <c r="AB59" s="312"/>
    </row>
    <row r="60" spans="1:28" s="1" customFormat="1" ht="89.25">
      <c r="A60" s="311"/>
      <c r="B60" s="273"/>
      <c r="C60" s="244"/>
      <c r="D60" s="244"/>
      <c r="E60" s="244"/>
      <c r="F60" s="269"/>
      <c r="G60" s="239"/>
      <c r="H60" s="266"/>
      <c r="I60" s="300"/>
      <c r="J60" s="244"/>
      <c r="K60" s="262"/>
      <c r="L60" s="251"/>
      <c r="M60" s="252"/>
      <c r="N60" s="252"/>
      <c r="O60" s="43" t="s">
        <v>235</v>
      </c>
      <c r="P60" s="8">
        <v>0</v>
      </c>
      <c r="Q60" s="10">
        <v>0.3</v>
      </c>
      <c r="R60" s="46">
        <v>0.15</v>
      </c>
      <c r="S60" s="114">
        <f t="shared" si="0"/>
        <v>0.5</v>
      </c>
      <c r="T60" s="252"/>
      <c r="U60" s="252"/>
      <c r="V60" s="227"/>
      <c r="W60" s="227"/>
      <c r="X60" s="228"/>
      <c r="Y60" s="117"/>
      <c r="Z60" s="117"/>
      <c r="AA60" s="138" t="str">
        <f>'[1]PLAN DE ACCION'!AA60</f>
        <v>Desde el Sisben, se brindó acompañamiento en jornadas de sensibilización sobre la nueva metodología del Sisben IV con las comunidades en las diferentes comunas de la Ciudad. Entre ellas este primer trimestre se  realizaron en:
• La Plaza De Bolívar.
• En el Parque Sucre.
• Jornada de Armenia Pa la calle de la Comuna 1. 
</v>
      </c>
      <c r="AB60" s="312"/>
    </row>
    <row r="61" spans="1:28" s="1" customFormat="1" ht="71.25">
      <c r="A61" s="311"/>
      <c r="B61" s="273"/>
      <c r="C61" s="244"/>
      <c r="D61" s="244"/>
      <c r="E61" s="244"/>
      <c r="F61" s="269"/>
      <c r="G61" s="239"/>
      <c r="H61" s="266"/>
      <c r="I61" s="300"/>
      <c r="J61" s="244"/>
      <c r="K61" s="262"/>
      <c r="L61" s="251"/>
      <c r="M61" s="252"/>
      <c r="N61" s="252"/>
      <c r="O61" s="43" t="s">
        <v>236</v>
      </c>
      <c r="P61" s="8">
        <v>0</v>
      </c>
      <c r="Q61" s="10">
        <v>1</v>
      </c>
      <c r="R61" s="46">
        <v>1</v>
      </c>
      <c r="S61" s="114">
        <f t="shared" si="0"/>
        <v>1</v>
      </c>
      <c r="T61" s="252"/>
      <c r="U61" s="252"/>
      <c r="V61" s="227"/>
      <c r="W61" s="227"/>
      <c r="X61" s="228"/>
      <c r="Y61" s="117"/>
      <c r="Z61" s="117"/>
      <c r="AA61" s="138" t="str">
        <f>'[1]PLAN DE ACCION'!AA61</f>
        <v>Frente a este proyecto se ha iniciado el proceso de Archivo, toda vez que la información es nueva para este periodo.</v>
      </c>
      <c r="AB61" s="312"/>
    </row>
    <row r="62" spans="1:28" s="1" customFormat="1" ht="62.25" customHeight="1">
      <c r="A62" s="311"/>
      <c r="B62" s="273"/>
      <c r="C62" s="9">
        <v>16</v>
      </c>
      <c r="D62" s="9" t="s">
        <v>65</v>
      </c>
      <c r="E62" s="9">
        <v>0</v>
      </c>
      <c r="F62" s="11">
        <v>0.8</v>
      </c>
      <c r="G62" s="239"/>
      <c r="H62" s="267"/>
      <c r="I62" s="52" t="s">
        <v>71</v>
      </c>
      <c r="J62" s="9">
        <v>0</v>
      </c>
      <c r="K62" s="48">
        <v>1</v>
      </c>
      <c r="L62" s="251"/>
      <c r="M62" s="252"/>
      <c r="N62" s="252"/>
      <c r="O62" s="43" t="s">
        <v>298</v>
      </c>
      <c r="P62" s="8">
        <v>0</v>
      </c>
      <c r="Q62" s="10">
        <v>0.05</v>
      </c>
      <c r="R62" s="46">
        <v>0.015</v>
      </c>
      <c r="S62" s="114">
        <f t="shared" si="0"/>
        <v>0.3</v>
      </c>
      <c r="T62" s="252"/>
      <c r="U62" s="252"/>
      <c r="V62" s="227"/>
      <c r="W62" s="227"/>
      <c r="X62" s="228"/>
      <c r="Y62" s="97" t="s">
        <v>374</v>
      </c>
      <c r="Z62" s="97" t="s">
        <v>392</v>
      </c>
      <c r="AA62" s="138" t="str">
        <f>'[1]PLAN DE ACCION'!AA62</f>
        <v>Se llevó a cabo el proceso contractual DAJ-CM-003-2021 para realizar consultoría con objeto: "Estudios y acompañamiento especializado orientado a la modificación excepcional de normal urbanísticas del plan de ordenamiento territorial del municipio de Armenia". Dentro de las obligaciones especificas del consultor se tiene abordar los tratamientos urbanisticos y definir en las fichas normativas aspectos como la intensidad, mescla de usos y edificabilidad.</v>
      </c>
      <c r="AB62" s="312"/>
    </row>
    <row r="63" spans="1:28" s="1" customFormat="1" ht="117" customHeight="1">
      <c r="A63" s="311"/>
      <c r="B63" s="273"/>
      <c r="C63" s="244">
        <v>16</v>
      </c>
      <c r="D63" s="244" t="s">
        <v>65</v>
      </c>
      <c r="E63" s="244">
        <v>0</v>
      </c>
      <c r="F63" s="269">
        <v>0.8</v>
      </c>
      <c r="G63" s="239"/>
      <c r="H63" s="300" t="s">
        <v>69</v>
      </c>
      <c r="I63" s="300" t="s">
        <v>72</v>
      </c>
      <c r="J63" s="244">
        <v>0</v>
      </c>
      <c r="K63" s="262">
        <v>1</v>
      </c>
      <c r="L63" s="251" t="s">
        <v>192</v>
      </c>
      <c r="M63" s="252" t="s">
        <v>221</v>
      </c>
      <c r="N63" s="252" t="s">
        <v>191</v>
      </c>
      <c r="O63" s="43" t="s">
        <v>222</v>
      </c>
      <c r="P63" s="10">
        <v>0</v>
      </c>
      <c r="Q63" s="10">
        <v>1</v>
      </c>
      <c r="R63" s="46">
        <v>1</v>
      </c>
      <c r="S63" s="114">
        <f t="shared" si="0"/>
        <v>1</v>
      </c>
      <c r="T63" s="252" t="s">
        <v>271</v>
      </c>
      <c r="U63" s="252" t="s">
        <v>209</v>
      </c>
      <c r="V63" s="227">
        <v>0</v>
      </c>
      <c r="W63" s="227">
        <v>0</v>
      </c>
      <c r="X63" s="228">
        <v>0</v>
      </c>
      <c r="Y63" s="97" t="s">
        <v>374</v>
      </c>
      <c r="Z63" s="97" t="s">
        <v>392</v>
      </c>
      <c r="AA63" s="135" t="str">
        <f>'[1]PLAN DE ACCION'!AA63</f>
        <v>Se realiza por demanda de acuerdo a la Resolución No.748/2021 de la CRQ.  A la fecha no se ha  radicado nintuna solicitud.</v>
      </c>
      <c r="AB63" s="312" t="s">
        <v>101</v>
      </c>
    </row>
    <row r="64" spans="1:28" s="1" customFormat="1" ht="71.25">
      <c r="A64" s="311"/>
      <c r="B64" s="273"/>
      <c r="C64" s="244"/>
      <c r="D64" s="244"/>
      <c r="E64" s="244"/>
      <c r="F64" s="269"/>
      <c r="G64" s="239"/>
      <c r="H64" s="300"/>
      <c r="I64" s="300"/>
      <c r="J64" s="244"/>
      <c r="K64" s="262"/>
      <c r="L64" s="251"/>
      <c r="M64" s="252"/>
      <c r="N64" s="252"/>
      <c r="O64" s="43" t="s">
        <v>237</v>
      </c>
      <c r="P64" s="10">
        <v>0</v>
      </c>
      <c r="Q64" s="10">
        <v>1</v>
      </c>
      <c r="R64" s="46">
        <v>1</v>
      </c>
      <c r="S64" s="114">
        <f t="shared" si="0"/>
        <v>1</v>
      </c>
      <c r="T64" s="252"/>
      <c r="U64" s="252"/>
      <c r="V64" s="227"/>
      <c r="W64" s="227"/>
      <c r="X64" s="228"/>
      <c r="Y64" s="117"/>
      <c r="Z64" s="97" t="s">
        <v>410</v>
      </c>
      <c r="AA64" s="135" t="str">
        <f>'[1]PLAN DE ACCION'!AA64</f>
        <v>Se lleva  a cabo una vez se recepcionen documentos para efectuar el análisis.</v>
      </c>
      <c r="AB64" s="312"/>
    </row>
    <row r="65" spans="1:28" s="1" customFormat="1" ht="126.75" customHeight="1">
      <c r="A65" s="311"/>
      <c r="B65" s="273"/>
      <c r="C65" s="244">
        <v>16</v>
      </c>
      <c r="D65" s="244" t="s">
        <v>65</v>
      </c>
      <c r="E65" s="244">
        <v>0</v>
      </c>
      <c r="F65" s="269">
        <v>1</v>
      </c>
      <c r="G65" s="239"/>
      <c r="H65" s="265" t="s">
        <v>73</v>
      </c>
      <c r="I65" s="300" t="s">
        <v>74</v>
      </c>
      <c r="J65" s="244">
        <v>1</v>
      </c>
      <c r="K65" s="262">
        <v>11</v>
      </c>
      <c r="L65" s="251" t="s">
        <v>194</v>
      </c>
      <c r="M65" s="252" t="s">
        <v>150</v>
      </c>
      <c r="N65" s="252" t="s">
        <v>193</v>
      </c>
      <c r="O65" s="43" t="s">
        <v>238</v>
      </c>
      <c r="P65" s="10">
        <v>0</v>
      </c>
      <c r="Q65" s="10">
        <v>1</v>
      </c>
      <c r="R65" s="46">
        <v>0.61</v>
      </c>
      <c r="S65" s="114">
        <f t="shared" si="0"/>
        <v>0.61</v>
      </c>
      <c r="T65" s="252" t="s">
        <v>272</v>
      </c>
      <c r="U65" s="252" t="s">
        <v>209</v>
      </c>
      <c r="V65" s="227">
        <v>0</v>
      </c>
      <c r="W65" s="227">
        <v>0</v>
      </c>
      <c r="X65" s="228">
        <v>0</v>
      </c>
      <c r="Y65" s="130" t="s">
        <v>374</v>
      </c>
      <c r="Z65" s="33" t="s">
        <v>371</v>
      </c>
      <c r="AA65" s="135" t="str">
        <f>'[1]PLAN DE ACCION'!AA65</f>
        <v>Se han realizado 9 mesas de trabajo con el Ministerio de Vivienda Ciudad y Territorio, se aprobo acoger la GUIA METODOLOGICA  realizada por la Dirección de Espacio Urbano y Territorial del MINVIVIENDA y la aprobación del Plan de Trabajo. Se está compilando la información de la documentación que hace parte integral del Archivo historíco del POT.  Se llevo acabo el 24-03-2021 reunión virtual MINVIVIENDA para revisar avances y borrador estudios previos para la consultoria de la modificación excepcional del POT./// Se ordenó en carpetas digitales la georeferenciación por comunas de los siguientes elementos: poligonos por comunas, barrios, zonas de riesgo, mapa operativo de plan de contingencia, estrategia de manual de árbol urbano, sistema estructurante de bienes públicos y ciudadania, res de espacios públicos, equipamientos de recreación y deportes, I. Educativas, equipamientos comunitarios y de bienestar social, religiosos y de culto; los anteriores elementos de acuerdo a lo establecido en el POT, igualmente, se adjuntantan planos SIG, con delimitación de cada barrio, a fin de proveer información detallada al documento dosier de cada comuna.</v>
      </c>
      <c r="AB65" s="312" t="s">
        <v>101</v>
      </c>
    </row>
    <row r="66" spans="1:28" s="1" customFormat="1" ht="395.25">
      <c r="A66" s="311"/>
      <c r="B66" s="273"/>
      <c r="C66" s="244"/>
      <c r="D66" s="244"/>
      <c r="E66" s="244"/>
      <c r="F66" s="269"/>
      <c r="G66" s="239"/>
      <c r="H66" s="266"/>
      <c r="I66" s="300"/>
      <c r="J66" s="244"/>
      <c r="K66" s="262"/>
      <c r="L66" s="251"/>
      <c r="M66" s="252"/>
      <c r="N66" s="252"/>
      <c r="O66" s="43" t="s">
        <v>239</v>
      </c>
      <c r="P66" s="10">
        <v>0</v>
      </c>
      <c r="Q66" s="10">
        <v>1</v>
      </c>
      <c r="R66" s="46">
        <v>0.45</v>
      </c>
      <c r="S66" s="114">
        <f t="shared" si="0"/>
        <v>0.45</v>
      </c>
      <c r="T66" s="252"/>
      <c r="U66" s="252"/>
      <c r="V66" s="227"/>
      <c r="W66" s="227"/>
      <c r="X66" s="228"/>
      <c r="Y66" s="130" t="s">
        <v>374</v>
      </c>
      <c r="Z66" s="33" t="s">
        <v>393</v>
      </c>
      <c r="AA66" s="135" t="str">
        <f>'[1]PLAN DE ACCION'!AA66</f>
        <v>En esta actividad se realiza la consolidación de toda la información relacionada con el Plan de Ordenamiento Territorial del municipio, los documentos que lo conforman, así como los estudios, planes y demás información alusiva a la planeación física y social del municipio, este archivo debe contar como mínimo con los documentos del P.O.T, estudios técnicos y de detalle, regulación, información de seguimiento a la ejecución del P.O.T e información histórica de la planificación territorial municipal.                                                                                                                                                                                                                                 A la fecha se ha consolidado un archivo tecnico historico digital, el cual se va construyendo dia a dia con la adición de nueva información.                          Para este trimestre se incluyeron los siguientes documentos:                                     1.Plan integral de gestión de cambio climático Territorial del Quindío 2030.                                                                                                                      2.Guia para la incorporación del paisaje cultural cafetero en la revisión y ajuste de los planes de ordenamiento territorial (POT,PBOT,EOT).                                                                                                           3. Guia para la integración del Plan de Manejo del Paisaje Cultural Cafetero en el Ordenamiento Territorial.                                                                      4. Acuerdo Municipal 016 de 2013 paisaje cultural cafetero Armenia. 5. Resolución 2079 de 2011 (Ministerio de cultura)                                                      6. Resolución 2963 de 2012 (Ministerio de cultura)                                               7.COMPES 3803 PCC                                                                                                                         8.Ley 1913 de 2018                                                                                                            9. Fichas municipales paisaje cultural cafetero (UGCA)                                                10.Documento PCC realizado por la gobernación del Quindío y la UGCA 11. Poligonos PCC en Armenia                                                                              12. Planes de Manejo Ambiental</v>
      </c>
      <c r="AB66" s="312"/>
    </row>
    <row r="67" spans="1:28" s="1" customFormat="1" ht="80.25" customHeight="1">
      <c r="A67" s="311"/>
      <c r="B67" s="273"/>
      <c r="C67" s="244"/>
      <c r="D67" s="244"/>
      <c r="E67" s="244"/>
      <c r="F67" s="269"/>
      <c r="G67" s="239"/>
      <c r="H67" s="266"/>
      <c r="I67" s="300"/>
      <c r="J67" s="244"/>
      <c r="K67" s="262"/>
      <c r="L67" s="251"/>
      <c r="M67" s="252"/>
      <c r="N67" s="252"/>
      <c r="O67" s="43" t="s">
        <v>240</v>
      </c>
      <c r="P67" s="10">
        <v>0</v>
      </c>
      <c r="Q67" s="10">
        <v>1</v>
      </c>
      <c r="R67" s="46">
        <v>0.5</v>
      </c>
      <c r="S67" s="114">
        <f t="shared" si="0"/>
        <v>0.5</v>
      </c>
      <c r="T67" s="252"/>
      <c r="U67" s="252"/>
      <c r="V67" s="227"/>
      <c r="W67" s="227"/>
      <c r="X67" s="228"/>
      <c r="Y67" s="130" t="s">
        <v>374</v>
      </c>
      <c r="Z67" s="33" t="s">
        <v>393</v>
      </c>
      <c r="AA67" s="135" t="str">
        <f>'[1]PLAN DE ACCION'!AA67</f>
        <v>Se desarrolla parte de  la lectura operativa y selectiva del Plan de Ordenamiento Territorial del municipio de Armenia, a traves del analisis de suficiencia tecnica del documento,  soportado en la matriz denominada "Mapa conceptual", misma que se encuentra desarrollada en su totalidad.</v>
      </c>
      <c r="AB67" s="312"/>
    </row>
    <row r="68" spans="1:28" s="1" customFormat="1" ht="80.25" customHeight="1">
      <c r="A68" s="311"/>
      <c r="B68" s="273"/>
      <c r="C68" s="244"/>
      <c r="D68" s="244"/>
      <c r="E68" s="244"/>
      <c r="F68" s="269"/>
      <c r="G68" s="239"/>
      <c r="H68" s="266"/>
      <c r="I68" s="300"/>
      <c r="J68" s="244"/>
      <c r="K68" s="262"/>
      <c r="L68" s="251"/>
      <c r="M68" s="252"/>
      <c r="N68" s="252"/>
      <c r="O68" s="43" t="s">
        <v>241</v>
      </c>
      <c r="P68" s="10">
        <v>0</v>
      </c>
      <c r="Q68" s="10">
        <v>1</v>
      </c>
      <c r="R68" s="46">
        <v>0.5</v>
      </c>
      <c r="S68" s="114">
        <f t="shared" si="0"/>
        <v>0.5</v>
      </c>
      <c r="T68" s="252"/>
      <c r="U68" s="252"/>
      <c r="V68" s="227"/>
      <c r="W68" s="227"/>
      <c r="X68" s="228"/>
      <c r="Y68" s="130" t="s">
        <v>374</v>
      </c>
      <c r="Z68" s="33" t="s">
        <v>393</v>
      </c>
      <c r="AA68" s="135" t="str">
        <f>'[1]PLAN DE ACCION'!AA68</f>
        <v>Se avanza en un 70% en el desarrollo de la matriz denominada  "Articulación de fines y medios", en la cual se realizá el respectivo analisis de programas y proyectos establecidos en el Plan de Ordenamiento, segun la visión territorial del mismo, en el corto, mediano y largo plazo, a fin de verificar que proyectos no han sido ejecutados, cuales si, y cuales fueron los recursos asignados para la ejecución de estos.</v>
      </c>
      <c r="AB68" s="312"/>
    </row>
    <row r="69" spans="1:28" s="1" customFormat="1" ht="80.25" customHeight="1">
      <c r="A69" s="311"/>
      <c r="B69" s="273"/>
      <c r="C69" s="244"/>
      <c r="D69" s="244"/>
      <c r="E69" s="244"/>
      <c r="F69" s="269"/>
      <c r="G69" s="239"/>
      <c r="H69" s="266"/>
      <c r="I69" s="300"/>
      <c r="J69" s="244"/>
      <c r="K69" s="262"/>
      <c r="L69" s="251"/>
      <c r="M69" s="252"/>
      <c r="N69" s="252"/>
      <c r="O69" s="43" t="s">
        <v>242</v>
      </c>
      <c r="P69" s="10">
        <v>0</v>
      </c>
      <c r="Q69" s="10">
        <v>1</v>
      </c>
      <c r="R69" s="46">
        <v>0.2</v>
      </c>
      <c r="S69" s="114">
        <f t="shared" si="0"/>
        <v>0.2</v>
      </c>
      <c r="T69" s="252"/>
      <c r="U69" s="252"/>
      <c r="V69" s="227"/>
      <c r="W69" s="227"/>
      <c r="X69" s="228"/>
      <c r="Y69" s="38" t="s">
        <v>394</v>
      </c>
      <c r="Z69" s="38" t="s">
        <v>394</v>
      </c>
      <c r="AA69" s="138" t="str">
        <f>'[1]PLAN DE ACCION'!AA69</f>
        <v>No se reportan acciones durante el trimestre, dado que se requiere finalizar las etapas anteriores para contar con la información requerida para el desarrollo de la misma.</v>
      </c>
      <c r="AB69" s="312"/>
    </row>
    <row r="70" spans="1:28" s="1" customFormat="1" ht="102.75" customHeight="1">
      <c r="A70" s="311"/>
      <c r="B70" s="273"/>
      <c r="C70" s="244"/>
      <c r="D70" s="244"/>
      <c r="E70" s="244"/>
      <c r="F70" s="269"/>
      <c r="G70" s="239"/>
      <c r="H70" s="266"/>
      <c r="I70" s="300"/>
      <c r="J70" s="244"/>
      <c r="K70" s="262"/>
      <c r="L70" s="251"/>
      <c r="M70" s="252"/>
      <c r="N70" s="252"/>
      <c r="O70" s="43" t="s">
        <v>243</v>
      </c>
      <c r="P70" s="10">
        <v>0</v>
      </c>
      <c r="Q70" s="10">
        <v>1</v>
      </c>
      <c r="R70" s="46">
        <v>0.2</v>
      </c>
      <c r="S70" s="114">
        <f t="shared" si="0"/>
        <v>0.2</v>
      </c>
      <c r="T70" s="252"/>
      <c r="U70" s="252"/>
      <c r="V70" s="227"/>
      <c r="W70" s="227"/>
      <c r="X70" s="228"/>
      <c r="Y70" s="38" t="s">
        <v>394</v>
      </c>
      <c r="Z70" s="38" t="s">
        <v>394</v>
      </c>
      <c r="AA70" s="138" t="str">
        <f>'[1]PLAN DE ACCION'!AA70</f>
        <v>No se registran acciones durante el trimestre, dado que se requiere finalizar las etapas anteriores para contar con la información requerida para el desarrollo de la misma.</v>
      </c>
      <c r="AB70" s="312"/>
    </row>
    <row r="71" spans="1:28" s="1" customFormat="1" ht="84.75" customHeight="1">
      <c r="A71" s="311"/>
      <c r="B71" s="273"/>
      <c r="C71" s="244">
        <v>16</v>
      </c>
      <c r="D71" s="244" t="s">
        <v>65</v>
      </c>
      <c r="E71" s="244">
        <v>0</v>
      </c>
      <c r="F71" s="269">
        <v>0.8</v>
      </c>
      <c r="G71" s="239"/>
      <c r="H71" s="266"/>
      <c r="I71" s="300" t="s">
        <v>75</v>
      </c>
      <c r="J71" s="244">
        <v>1</v>
      </c>
      <c r="K71" s="262">
        <v>1</v>
      </c>
      <c r="L71" s="251"/>
      <c r="M71" s="252"/>
      <c r="N71" s="252"/>
      <c r="O71" s="43" t="s">
        <v>244</v>
      </c>
      <c r="P71" s="10">
        <v>0</v>
      </c>
      <c r="Q71" s="10">
        <v>1</v>
      </c>
      <c r="R71" s="46">
        <v>0.3</v>
      </c>
      <c r="S71" s="114">
        <f t="shared" si="0"/>
        <v>0.3</v>
      </c>
      <c r="T71" s="252"/>
      <c r="U71" s="252"/>
      <c r="V71" s="227"/>
      <c r="W71" s="227"/>
      <c r="X71" s="228"/>
      <c r="Y71" s="38" t="s">
        <v>394</v>
      </c>
      <c r="Z71" s="38" t="s">
        <v>394</v>
      </c>
      <c r="AA71" s="135" t="str">
        <f>'[1]PLAN DE ACCION'!AA71</f>
        <v>Se realizarón mesas de trabajo virtuales con el  Ministerio de Vivienda Ciudad y Terriotrio durante el desarrollo de la matriz de "Articulación de fines y medios", con el objetivo de realizar desde esta etapa parte del seguimiento y evaluación a la ejecución del plan de ordenamiento territorial del Municipio.</v>
      </c>
      <c r="AB71" s="312"/>
    </row>
    <row r="72" spans="1:28" s="1" customFormat="1" ht="99.75">
      <c r="A72" s="311"/>
      <c r="B72" s="273"/>
      <c r="C72" s="244"/>
      <c r="D72" s="244"/>
      <c r="E72" s="244"/>
      <c r="F72" s="269"/>
      <c r="G72" s="239"/>
      <c r="H72" s="266"/>
      <c r="I72" s="300"/>
      <c r="J72" s="244"/>
      <c r="K72" s="262"/>
      <c r="L72" s="251"/>
      <c r="M72" s="252"/>
      <c r="N72" s="252"/>
      <c r="O72" s="43" t="s">
        <v>245</v>
      </c>
      <c r="P72" s="10">
        <v>0</v>
      </c>
      <c r="Q72" s="10">
        <v>1</v>
      </c>
      <c r="R72" s="46">
        <v>0.2</v>
      </c>
      <c r="S72" s="114">
        <f t="shared" si="0"/>
        <v>0.2</v>
      </c>
      <c r="T72" s="252"/>
      <c r="U72" s="252"/>
      <c r="V72" s="227"/>
      <c r="W72" s="227"/>
      <c r="X72" s="228"/>
      <c r="Y72" s="38" t="s">
        <v>394</v>
      </c>
      <c r="Z72" s="38" t="s">
        <v>394</v>
      </c>
      <c r="AA72" s="135" t="str">
        <f>'[1]PLAN DE ACCION'!AA72</f>
        <v>No se registran acciones durante el trimestre, dado que se requiere finalizar las etapas anteriores para contar con la información requerida para el desarrollo de la misma.</v>
      </c>
      <c r="AB72" s="312"/>
    </row>
    <row r="73" spans="1:28" s="1" customFormat="1" ht="111" customHeight="1">
      <c r="A73" s="311"/>
      <c r="B73" s="273"/>
      <c r="C73" s="244"/>
      <c r="D73" s="244"/>
      <c r="E73" s="244"/>
      <c r="F73" s="269"/>
      <c r="G73" s="239"/>
      <c r="H73" s="266"/>
      <c r="I73" s="300"/>
      <c r="J73" s="244"/>
      <c r="K73" s="262"/>
      <c r="L73" s="251"/>
      <c r="M73" s="252"/>
      <c r="N73" s="252"/>
      <c r="O73" s="43" t="s">
        <v>259</v>
      </c>
      <c r="P73" s="10">
        <v>0.1</v>
      </c>
      <c r="Q73" s="10">
        <v>0.2</v>
      </c>
      <c r="R73" s="46">
        <v>0.14</v>
      </c>
      <c r="S73" s="114">
        <f t="shared" si="0"/>
        <v>0.7000000000000001</v>
      </c>
      <c r="T73" s="252"/>
      <c r="U73" s="252"/>
      <c r="V73" s="227"/>
      <c r="W73" s="227"/>
      <c r="X73" s="228"/>
      <c r="Y73" s="130" t="s">
        <v>374</v>
      </c>
      <c r="Z73" s="33" t="s">
        <v>371</v>
      </c>
      <c r="AA73" s="135" t="str">
        <f>'[1]PLAN DE ACCION'!AA73</f>
        <v>Se desarrolla Análisis de suficiencia (Matriz mapa conceptual POT) a traves de  la lectura operativa  y selectiva del POT, realizando seguimiento y evaluación de lo propuesto en los planos, en las normas generales y complementarias en lo relativo al componente general, urbano y rural, adicionalmente se desarrolla (Matriz de articulación de fines y medios) en el que se realiza seguimiento a la ejecución de los programas y proyectos establecidos por el POT para el corto, mediano y largo plazo.</v>
      </c>
      <c r="AB73" s="312"/>
    </row>
    <row r="74" spans="1:28" s="1" customFormat="1" ht="42.75">
      <c r="A74" s="311"/>
      <c r="B74" s="273"/>
      <c r="C74" s="244"/>
      <c r="D74" s="244"/>
      <c r="E74" s="244"/>
      <c r="F74" s="269"/>
      <c r="G74" s="239"/>
      <c r="H74" s="266"/>
      <c r="I74" s="300"/>
      <c r="J74" s="244"/>
      <c r="K74" s="262"/>
      <c r="L74" s="251"/>
      <c r="M74" s="252"/>
      <c r="N74" s="252"/>
      <c r="O74" s="43" t="s">
        <v>260</v>
      </c>
      <c r="P74" s="10">
        <v>0.1</v>
      </c>
      <c r="Q74" s="10">
        <v>0.2</v>
      </c>
      <c r="R74" s="46">
        <v>0</v>
      </c>
      <c r="S74" s="114">
        <f t="shared" si="0"/>
        <v>0</v>
      </c>
      <c r="T74" s="252"/>
      <c r="U74" s="252"/>
      <c r="V74" s="227"/>
      <c r="W74" s="227"/>
      <c r="X74" s="228"/>
      <c r="Y74" s="38" t="s">
        <v>394</v>
      </c>
      <c r="Z74" s="38" t="s">
        <v>394</v>
      </c>
      <c r="AA74" s="135" t="str">
        <f>'[1]PLAN DE ACCION'!AA74</f>
        <v>No se reportan acciones durante el trimestre</v>
      </c>
      <c r="AB74" s="312"/>
    </row>
    <row r="75" spans="1:28" s="1" customFormat="1" ht="111.75" customHeight="1">
      <c r="A75" s="311"/>
      <c r="B75" s="273"/>
      <c r="C75" s="244"/>
      <c r="D75" s="244"/>
      <c r="E75" s="244"/>
      <c r="F75" s="269"/>
      <c r="G75" s="239"/>
      <c r="H75" s="267"/>
      <c r="I75" s="300"/>
      <c r="J75" s="244"/>
      <c r="K75" s="262"/>
      <c r="L75" s="251"/>
      <c r="M75" s="252"/>
      <c r="N75" s="252"/>
      <c r="O75" s="43" t="s">
        <v>261</v>
      </c>
      <c r="P75" s="10">
        <v>0.1</v>
      </c>
      <c r="Q75" s="10">
        <v>1</v>
      </c>
      <c r="R75" s="46">
        <v>0.5</v>
      </c>
      <c r="S75" s="114">
        <f t="shared" si="0"/>
        <v>0.5</v>
      </c>
      <c r="T75" s="252"/>
      <c r="U75" s="252"/>
      <c r="V75" s="227"/>
      <c r="W75" s="227"/>
      <c r="X75" s="228"/>
      <c r="Y75" s="130" t="s">
        <v>374</v>
      </c>
      <c r="Z75" s="33" t="s">
        <v>371</v>
      </c>
      <c r="AA75" s="135" t="str">
        <f>'[1]PLAN DE ACCION'!AA75</f>
        <v>Se realiza archivo digital de la información consolidada y ejecutada en el trimestre relacionada al archivo tecnico historico, igualmente la matriz de mapa conceptual y el avance del documento de seguimiento y evaluación al Plan de Ordenamiento Territorial. /// Se realiza archivo digital de la información consolidada y ejecutada en el trimestre relacionada al archivo tecnico historico, igualmente la matriz de articulación de fines y medios.</v>
      </c>
      <c r="AB75" s="312"/>
    </row>
    <row r="76" spans="1:28" s="1" customFormat="1" ht="30" customHeight="1">
      <c r="A76" s="311"/>
      <c r="B76" s="273"/>
      <c r="C76" s="244">
        <v>16</v>
      </c>
      <c r="D76" s="244" t="s">
        <v>65</v>
      </c>
      <c r="E76" s="244">
        <v>0</v>
      </c>
      <c r="F76" s="269">
        <v>0.8</v>
      </c>
      <c r="G76" s="239"/>
      <c r="H76" s="265" t="s">
        <v>73</v>
      </c>
      <c r="I76" s="300" t="s">
        <v>266</v>
      </c>
      <c r="J76" s="244">
        <v>0</v>
      </c>
      <c r="K76" s="262">
        <v>1</v>
      </c>
      <c r="L76" s="259" t="s">
        <v>196</v>
      </c>
      <c r="M76" s="245" t="s">
        <v>112</v>
      </c>
      <c r="N76" s="245" t="s">
        <v>195</v>
      </c>
      <c r="O76" s="43" t="s">
        <v>130</v>
      </c>
      <c r="P76" s="10">
        <v>0.2</v>
      </c>
      <c r="Q76" s="10">
        <v>0.6</v>
      </c>
      <c r="R76" s="46">
        <v>0.5</v>
      </c>
      <c r="S76" s="114">
        <f t="shared" si="0"/>
        <v>0.8333333333333334</v>
      </c>
      <c r="T76" s="245" t="s">
        <v>342</v>
      </c>
      <c r="U76" s="245" t="s">
        <v>343</v>
      </c>
      <c r="V76" s="232">
        <f>3000000+100000000+45100000+80477026+2173050293</f>
        <v>2401627319</v>
      </c>
      <c r="W76" s="232">
        <f>2600000+99000000+45050000+1403952692</f>
        <v>1550602692</v>
      </c>
      <c r="X76" s="229">
        <f>W76/V76</f>
        <v>0.6456466745413467</v>
      </c>
      <c r="Y76" s="130" t="s">
        <v>374</v>
      </c>
      <c r="Z76" s="97"/>
      <c r="AA76" s="136" t="str">
        <f>'[1]PLAN DE ACCION'!AA76</f>
        <v>Esta actividad esta ligada al desarrollo y ejecución de la Consultoria. /// Se recibio prediagnostico el cual se encuentra en revisión.</v>
      </c>
      <c r="AB76" s="253" t="s">
        <v>101</v>
      </c>
    </row>
    <row r="77" spans="1:28" s="1" customFormat="1" ht="58.5" customHeight="1">
      <c r="A77" s="311"/>
      <c r="B77" s="273"/>
      <c r="C77" s="244"/>
      <c r="D77" s="244"/>
      <c r="E77" s="244"/>
      <c r="F77" s="269"/>
      <c r="G77" s="239"/>
      <c r="H77" s="266"/>
      <c r="I77" s="300"/>
      <c r="J77" s="244"/>
      <c r="K77" s="262"/>
      <c r="L77" s="260"/>
      <c r="M77" s="246"/>
      <c r="N77" s="246"/>
      <c r="O77" s="43" t="s">
        <v>153</v>
      </c>
      <c r="P77" s="10">
        <v>0.2</v>
      </c>
      <c r="Q77" s="10">
        <v>0.4</v>
      </c>
      <c r="R77" s="46">
        <v>0.25</v>
      </c>
      <c r="S77" s="114">
        <f aca="true" t="shared" si="1" ref="S77:S136">R77/Q77</f>
        <v>0.625</v>
      </c>
      <c r="T77" s="246"/>
      <c r="U77" s="246"/>
      <c r="V77" s="233"/>
      <c r="W77" s="233"/>
      <c r="X77" s="230"/>
      <c r="Y77" s="130" t="s">
        <v>374</v>
      </c>
      <c r="Z77" s="97" t="s">
        <v>395</v>
      </c>
      <c r="AA77" s="138" t="str">
        <f>'[1]PLAN DE ACCION'!AA77</f>
        <v>Se llevó a cabo el proceso contractual DAJ-CM-003-2021 para realizar consultoría con objeto: "Estudios y acompañamiento especializado orientado a la modificación excepcional de normal urbanísticas del plan de ordenamiento territorial del municipio de Armenia". Dentro del cual se interviene los temas de planificación intermedia enmarcados de acuerdo a la normatividad vigente las unidades de planificación rural. El periodo de ejecución de esta consultoría esta proyectada con resultados a 6 meses. /// Se recibio diagnostico preliminar.</v>
      </c>
      <c r="AB77" s="254"/>
    </row>
    <row r="78" spans="1:28" s="1" customFormat="1" ht="69.75" customHeight="1">
      <c r="A78" s="311"/>
      <c r="B78" s="273"/>
      <c r="C78" s="244"/>
      <c r="D78" s="244"/>
      <c r="E78" s="244"/>
      <c r="F78" s="269"/>
      <c r="G78" s="239"/>
      <c r="H78" s="266"/>
      <c r="I78" s="300"/>
      <c r="J78" s="244"/>
      <c r="K78" s="262"/>
      <c r="L78" s="260"/>
      <c r="M78" s="246"/>
      <c r="N78" s="246"/>
      <c r="O78" s="43" t="s">
        <v>154</v>
      </c>
      <c r="P78" s="10">
        <v>0.2</v>
      </c>
      <c r="Q78" s="10">
        <v>0.4</v>
      </c>
      <c r="R78" s="46">
        <v>0.25</v>
      </c>
      <c r="S78" s="114">
        <f t="shared" si="1"/>
        <v>0.625</v>
      </c>
      <c r="T78" s="246"/>
      <c r="U78" s="246"/>
      <c r="V78" s="233"/>
      <c r="W78" s="233"/>
      <c r="X78" s="230"/>
      <c r="Y78" s="130" t="s">
        <v>374</v>
      </c>
      <c r="Z78" s="97" t="s">
        <v>395</v>
      </c>
      <c r="AA78" s="138" t="str">
        <f>'[1]PLAN DE ACCION'!AA78</f>
        <v>Se llevó a cabo el proceso contractual DAJ-CM-003-2021 para realizar consultoría con objeto: "Estudios y acompañamiento especializado orientado a la modificación excepcional de normal urbanísticas del plan de ordenamiento territorial del municipio de Armenia". Dentro del cual se interviene los temas de planificación intermedia enmarcados de acuerdo a la normatividad vigente las unidades de planificación rural. El periodo de ejecución de esta consultoría esta proyectada con resultados a 6 meses. /// Se recibio en el  diagnostico preliminar analisis tecnico y juridico de las UPRA, el cual esta sujeto a aprovacion de la supervisión.</v>
      </c>
      <c r="AB78" s="254"/>
    </row>
    <row r="79" spans="1:28" s="1" customFormat="1" ht="49.5" customHeight="1">
      <c r="A79" s="311"/>
      <c r="B79" s="273"/>
      <c r="C79" s="244">
        <v>16</v>
      </c>
      <c r="D79" s="244" t="s">
        <v>65</v>
      </c>
      <c r="E79" s="244">
        <v>0</v>
      </c>
      <c r="F79" s="269">
        <v>0.7</v>
      </c>
      <c r="G79" s="239"/>
      <c r="H79" s="266"/>
      <c r="I79" s="300" t="s">
        <v>76</v>
      </c>
      <c r="J79" s="244">
        <v>0</v>
      </c>
      <c r="K79" s="262">
        <v>1</v>
      </c>
      <c r="L79" s="260"/>
      <c r="M79" s="246"/>
      <c r="N79" s="246"/>
      <c r="O79" s="43" t="s">
        <v>130</v>
      </c>
      <c r="P79" s="10">
        <v>0.2</v>
      </c>
      <c r="Q79" s="10">
        <v>0.6</v>
      </c>
      <c r="R79" s="46">
        <v>0.5</v>
      </c>
      <c r="S79" s="114">
        <f t="shared" si="1"/>
        <v>0.8333333333333334</v>
      </c>
      <c r="T79" s="246"/>
      <c r="U79" s="246"/>
      <c r="V79" s="233"/>
      <c r="W79" s="233"/>
      <c r="X79" s="230"/>
      <c r="Y79" s="130" t="s">
        <v>374</v>
      </c>
      <c r="Z79" s="97"/>
      <c r="AA79" s="136" t="str">
        <f>'[1]PLAN DE ACCION'!AA79</f>
        <v>Esta actividad esta ligada al desarrollo y ejecución de la Consultoria./// Se recibio prediagnostico el cual se encuentra en revisión.</v>
      </c>
      <c r="AB79" s="254"/>
    </row>
    <row r="80" spans="1:28" s="1" customFormat="1" ht="45" customHeight="1">
      <c r="A80" s="311"/>
      <c r="B80" s="273"/>
      <c r="C80" s="244"/>
      <c r="D80" s="244"/>
      <c r="E80" s="244"/>
      <c r="F80" s="269"/>
      <c r="G80" s="239"/>
      <c r="H80" s="266"/>
      <c r="I80" s="300"/>
      <c r="J80" s="244"/>
      <c r="K80" s="262"/>
      <c r="L80" s="260"/>
      <c r="M80" s="246"/>
      <c r="N80" s="246"/>
      <c r="O80" s="43" t="s">
        <v>152</v>
      </c>
      <c r="P80" s="10">
        <v>0.2</v>
      </c>
      <c r="Q80" s="10">
        <v>0.4</v>
      </c>
      <c r="R80" s="46">
        <v>0.25</v>
      </c>
      <c r="S80" s="114">
        <f t="shared" si="1"/>
        <v>0.625</v>
      </c>
      <c r="T80" s="246"/>
      <c r="U80" s="246"/>
      <c r="V80" s="233"/>
      <c r="W80" s="233"/>
      <c r="X80" s="230"/>
      <c r="Y80" s="130" t="s">
        <v>374</v>
      </c>
      <c r="Z80" s="97" t="s">
        <v>396</v>
      </c>
      <c r="AA80" s="138" t="str">
        <f>'[1]PLAN DE ACCION'!AA80</f>
        <v>Se llevó a cabo el proceso contractual DAJ-CM-003-2021 para realizar consultoría con objeto: "Estudios y acompañamiento especializado orientado a la modificación escepcional de normal urbanisticas del plan de ordenamiento territorial del municipio de Armenia". Dentro del cual se incorporan los planes parciales enmarcados de acuerdo a la normatividad vigente. El periodo de ejecución de esta consultoria esta proyectada con resultados a 6 meses. /// Se recibio diagnostico preliminar.</v>
      </c>
      <c r="AB80" s="254"/>
    </row>
    <row r="81" spans="1:28" s="1" customFormat="1" ht="65.25" customHeight="1">
      <c r="A81" s="311"/>
      <c r="B81" s="273"/>
      <c r="C81" s="244"/>
      <c r="D81" s="244"/>
      <c r="E81" s="244"/>
      <c r="F81" s="269"/>
      <c r="G81" s="239"/>
      <c r="H81" s="266"/>
      <c r="I81" s="300"/>
      <c r="J81" s="244"/>
      <c r="K81" s="262"/>
      <c r="L81" s="260"/>
      <c r="M81" s="246"/>
      <c r="N81" s="246"/>
      <c r="O81" s="43" t="s">
        <v>127</v>
      </c>
      <c r="P81" s="10">
        <v>0.2</v>
      </c>
      <c r="Q81" s="10">
        <v>0.4</v>
      </c>
      <c r="R81" s="46">
        <v>0.25</v>
      </c>
      <c r="S81" s="114">
        <f t="shared" si="1"/>
        <v>0.625</v>
      </c>
      <c r="T81" s="246"/>
      <c r="U81" s="246"/>
      <c r="V81" s="233"/>
      <c r="W81" s="233"/>
      <c r="X81" s="230"/>
      <c r="Y81" s="130" t="s">
        <v>374</v>
      </c>
      <c r="Z81" s="97" t="s">
        <v>396</v>
      </c>
      <c r="AA81" s="136" t="str">
        <f>'[1]PLAN DE ACCION'!AA81</f>
        <v>Se llevó a cabo el proceso contractual DAJ-CM-003-2021 para realizar consultoría con objeto: "Estudios y acompañamiento especializado orientado a la modificación excepcional de normal urbanísticas del plan de ordenamiento territorial del municipio de Armenia". Dentro del cual se interviene los temas de planificación intermedia enmarcados de acuerdo a la normatividad vigente las unidades de planificación rural. El periodo de ejecución de esta consultoría esta proyectada con resultados a 6 meses. /// Se recibio en el  diagnostico preliminar analisis tecnico y juridico de los PLanes Parciales, el cual esta sujeto a aprovacion de la supervisión.</v>
      </c>
      <c r="AB81" s="254"/>
    </row>
    <row r="82" spans="1:28" s="1" customFormat="1" ht="45" customHeight="1">
      <c r="A82" s="311"/>
      <c r="B82" s="273"/>
      <c r="C82" s="238">
        <v>16</v>
      </c>
      <c r="D82" s="238" t="s">
        <v>65</v>
      </c>
      <c r="E82" s="238">
        <v>0</v>
      </c>
      <c r="F82" s="241">
        <v>0.9</v>
      </c>
      <c r="G82" s="239"/>
      <c r="H82" s="266"/>
      <c r="I82" s="265" t="s">
        <v>77</v>
      </c>
      <c r="J82" s="238">
        <v>0</v>
      </c>
      <c r="K82" s="313">
        <v>1</v>
      </c>
      <c r="L82" s="260"/>
      <c r="M82" s="246"/>
      <c r="N82" s="246"/>
      <c r="O82" s="43" t="s">
        <v>130</v>
      </c>
      <c r="P82" s="10">
        <v>0.1</v>
      </c>
      <c r="Q82" s="10">
        <v>0.2</v>
      </c>
      <c r="R82" s="46">
        <v>0.2</v>
      </c>
      <c r="S82" s="114">
        <f t="shared" si="1"/>
        <v>1</v>
      </c>
      <c r="T82" s="246"/>
      <c r="U82" s="246"/>
      <c r="V82" s="233"/>
      <c r="W82" s="233"/>
      <c r="X82" s="230"/>
      <c r="Y82" s="130" t="s">
        <v>374</v>
      </c>
      <c r="Z82" s="97" t="s">
        <v>396</v>
      </c>
      <c r="AA82" s="138" t="str">
        <f>'[1]PLAN DE ACCION'!AA82</f>
        <v>Se realizó Matriz Prediagnostico en formato Excel que contiene documentación cartográfica y norma POZ. Se actualizó la cartografía en formato KML de los sistemas Vial, Espacio Público y equipamientos con el equipo SIG de la Alcaldia Municipal.  Se analizó el documento SCA Quindío Documento técnico de soporte Plan de Ordenamiento Zonal Avenida Centenario donde el eje estructurador es el Río Quindío, teniendo en cuenta el ambito ambiental y el espacio público, Planos (Drenajes, Nacimientos, Construcciones Av.centenario, límete POZ, predios, suelos de protección, terrenos, vial, equipamientos, espacio público. Se desarrollo reunion de análisis y superposición de Planos del POZ.</v>
      </c>
      <c r="AB82" s="254"/>
    </row>
    <row r="83" spans="1:28" s="1" customFormat="1" ht="54.75" customHeight="1">
      <c r="A83" s="311"/>
      <c r="B83" s="273"/>
      <c r="C83" s="239"/>
      <c r="D83" s="239"/>
      <c r="E83" s="239"/>
      <c r="F83" s="242"/>
      <c r="G83" s="239"/>
      <c r="H83" s="266"/>
      <c r="I83" s="266"/>
      <c r="J83" s="239"/>
      <c r="K83" s="314"/>
      <c r="L83" s="260"/>
      <c r="M83" s="246"/>
      <c r="N83" s="246"/>
      <c r="O83" s="43" t="s">
        <v>151</v>
      </c>
      <c r="P83" s="10">
        <v>0.1</v>
      </c>
      <c r="Q83" s="10">
        <v>0.2</v>
      </c>
      <c r="R83" s="46">
        <v>0.2</v>
      </c>
      <c r="S83" s="114">
        <f t="shared" si="1"/>
        <v>1</v>
      </c>
      <c r="T83" s="246"/>
      <c r="U83" s="246"/>
      <c r="V83" s="233"/>
      <c r="W83" s="233"/>
      <c r="X83" s="230"/>
      <c r="Y83" s="130" t="s">
        <v>374</v>
      </c>
      <c r="Z83" s="97" t="s">
        <v>396</v>
      </c>
      <c r="AA83" s="138" t="str">
        <f>'[1]PLAN DE ACCION'!AA83</f>
        <v>A partir del equipo conformado para la reglamentacion del plan de ordenamiento zonal de la avenida centenario, se desarrolló los diferentes contenidos minimos para Planificación intermedia establecidos para el municipio de Armenia, a traves del Acuerdo 019/2009. Entre estos contenidos se encuentran los correspondientes al diagnostico tecnico y juridico del estado actual de la pieza de planificación, abordando tematicas ambientales, viales, espacio público, equipamientos, vivienda y servicios públicos.</v>
      </c>
      <c r="AB83" s="254"/>
    </row>
    <row r="84" spans="1:28" s="1" customFormat="1" ht="71.25" customHeight="1">
      <c r="A84" s="311"/>
      <c r="B84" s="273"/>
      <c r="C84" s="239"/>
      <c r="D84" s="239"/>
      <c r="E84" s="239"/>
      <c r="F84" s="242"/>
      <c r="G84" s="239"/>
      <c r="H84" s="266"/>
      <c r="I84" s="266"/>
      <c r="J84" s="239"/>
      <c r="K84" s="314"/>
      <c r="L84" s="260"/>
      <c r="M84" s="246"/>
      <c r="N84" s="246"/>
      <c r="O84" s="43" t="s">
        <v>127</v>
      </c>
      <c r="P84" s="10">
        <v>0.1</v>
      </c>
      <c r="Q84" s="10">
        <v>0.2</v>
      </c>
      <c r="R84" s="46">
        <v>0.2</v>
      </c>
      <c r="S84" s="114">
        <f t="shared" si="1"/>
        <v>1</v>
      </c>
      <c r="T84" s="246"/>
      <c r="U84" s="246"/>
      <c r="V84" s="233"/>
      <c r="W84" s="233"/>
      <c r="X84" s="230"/>
      <c r="Y84" s="130" t="s">
        <v>374</v>
      </c>
      <c r="Z84" s="97" t="s">
        <v>408</v>
      </c>
      <c r="AA84" s="136" t="str">
        <f>'[1]PLAN DE ACCION'!AA84</f>
        <v>Esta actividad esta ligada al desarrollo y ejecución de la Consultoria.</v>
      </c>
      <c r="AB84" s="254"/>
    </row>
    <row r="85" spans="1:28" s="1" customFormat="1" ht="66" customHeight="1">
      <c r="A85" s="311"/>
      <c r="B85" s="273"/>
      <c r="C85" s="239"/>
      <c r="D85" s="239"/>
      <c r="E85" s="239"/>
      <c r="F85" s="242"/>
      <c r="G85" s="239"/>
      <c r="H85" s="266"/>
      <c r="I85" s="266"/>
      <c r="J85" s="239"/>
      <c r="K85" s="314"/>
      <c r="L85" s="260"/>
      <c r="M85" s="246"/>
      <c r="N85" s="246"/>
      <c r="O85" s="43" t="s">
        <v>128</v>
      </c>
      <c r="P85" s="10">
        <v>0.1</v>
      </c>
      <c r="Q85" s="10">
        <v>0.2</v>
      </c>
      <c r="R85" s="46">
        <v>0.1</v>
      </c>
      <c r="S85" s="114">
        <f t="shared" si="1"/>
        <v>0.5</v>
      </c>
      <c r="T85" s="246"/>
      <c r="U85" s="246"/>
      <c r="V85" s="233"/>
      <c r="W85" s="233"/>
      <c r="X85" s="230"/>
      <c r="Y85" s="130" t="s">
        <v>374</v>
      </c>
      <c r="Z85" s="97" t="s">
        <v>408</v>
      </c>
      <c r="AA85" s="136" t="str">
        <f>'[1]PLAN DE ACCION'!AA85</f>
        <v>De acuerdo a los contenidos minimos para planificacion intermedia establecidos en el acuerdo 019/2009, se viene estructurando el documento tecnico de soporte por cada uno de los sistemas estructurantes del territorio, con el fin de cumplir con la vision territorial, el modelo de ordenamiento territorial y el componente estratégico del mismo, dando cumpliiento a los parámetros determinados por la normatividad vigente sobre el tema.</v>
      </c>
      <c r="AB85" s="254"/>
    </row>
    <row r="86" spans="1:28" s="1" customFormat="1" ht="45" customHeight="1">
      <c r="A86" s="311"/>
      <c r="B86" s="273"/>
      <c r="C86" s="239"/>
      <c r="D86" s="239"/>
      <c r="E86" s="239"/>
      <c r="F86" s="242"/>
      <c r="G86" s="239"/>
      <c r="H86" s="266"/>
      <c r="I86" s="266"/>
      <c r="J86" s="239"/>
      <c r="K86" s="314"/>
      <c r="L86" s="260"/>
      <c r="M86" s="246"/>
      <c r="N86" s="246"/>
      <c r="O86" s="43" t="s">
        <v>129</v>
      </c>
      <c r="P86" s="10">
        <v>0.1</v>
      </c>
      <c r="Q86" s="10">
        <v>0.2</v>
      </c>
      <c r="R86" s="46">
        <v>0.1</v>
      </c>
      <c r="S86" s="114">
        <f t="shared" si="1"/>
        <v>0.5</v>
      </c>
      <c r="T86" s="246"/>
      <c r="U86" s="246"/>
      <c r="V86" s="233"/>
      <c r="W86" s="233"/>
      <c r="X86" s="230"/>
      <c r="Y86" s="130" t="s">
        <v>374</v>
      </c>
      <c r="Z86" s="97" t="s">
        <v>408</v>
      </c>
      <c r="AA86" s="136" t="str">
        <f>'[1]PLAN DE ACCION'!AA86</f>
        <v>Para la divulgación del documento se realizó la identificacion de los actores intervnientes en el proceso, los cuales han sido participes de la construcción de los documentos técnicos y reglamentación de la pieza de planificación intermedia, plan zonal avenidad centenario.</v>
      </c>
      <c r="AB86" s="254"/>
    </row>
    <row r="87" spans="1:28" s="1" customFormat="1" ht="45" customHeight="1">
      <c r="A87" s="311"/>
      <c r="B87" s="305"/>
      <c r="C87" s="240"/>
      <c r="D87" s="240"/>
      <c r="E87" s="240"/>
      <c r="F87" s="243"/>
      <c r="G87" s="240"/>
      <c r="H87" s="267"/>
      <c r="I87" s="267"/>
      <c r="J87" s="240"/>
      <c r="K87" s="315"/>
      <c r="L87" s="261"/>
      <c r="M87" s="247"/>
      <c r="N87" s="247"/>
      <c r="O87" s="43" t="s">
        <v>299</v>
      </c>
      <c r="P87" s="33">
        <v>0</v>
      </c>
      <c r="Q87" s="33">
        <v>1</v>
      </c>
      <c r="R87" s="148">
        <v>0.5</v>
      </c>
      <c r="S87" s="114">
        <f t="shared" si="1"/>
        <v>0.5</v>
      </c>
      <c r="T87" s="247"/>
      <c r="U87" s="247"/>
      <c r="V87" s="234"/>
      <c r="W87" s="234"/>
      <c r="X87" s="231"/>
      <c r="Y87" s="97" t="s">
        <v>397</v>
      </c>
      <c r="Z87" s="97" t="s">
        <v>393</v>
      </c>
      <c r="AA87" s="136" t="str">
        <f>'[1]PLAN DE ACCION'!AA87</f>
        <v>Se surtió el proceso de estudio de la necesidad y la expedición del respectivo CDP por valor de $71.977.320, se remitió a la Secretaría de Infraestructura quien realizó Estudios Previos, Anexo Técnico, Glosario, Matriz Riesgo y Presupuesto. Se efectuó aviso de convocatoria - Selección Abreviada de Menor Cuantía No.DAJ-SAMC-27-2021.</v>
      </c>
      <c r="AB87" s="255"/>
    </row>
    <row r="88" spans="1:28" s="1" customFormat="1" ht="72" customHeight="1">
      <c r="A88" s="311"/>
      <c r="B88" s="54" t="s">
        <v>31</v>
      </c>
      <c r="C88" s="9" t="s">
        <v>32</v>
      </c>
      <c r="D88" s="50" t="s">
        <v>33</v>
      </c>
      <c r="E88" s="11">
        <v>0.3</v>
      </c>
      <c r="F88" s="11">
        <v>0.7</v>
      </c>
      <c r="G88" s="55" t="s">
        <v>78</v>
      </c>
      <c r="H88" s="51" t="s">
        <v>79</v>
      </c>
      <c r="I88" s="51" t="s">
        <v>80</v>
      </c>
      <c r="J88" s="9">
        <v>0</v>
      </c>
      <c r="K88" s="48">
        <v>1</v>
      </c>
      <c r="L88" s="32" t="s">
        <v>267</v>
      </c>
      <c r="M88" s="8" t="s">
        <v>113</v>
      </c>
      <c r="N88" s="8" t="s">
        <v>262</v>
      </c>
      <c r="O88" s="43" t="s">
        <v>246</v>
      </c>
      <c r="P88" s="8">
        <v>0</v>
      </c>
      <c r="Q88" s="8">
        <v>1</v>
      </c>
      <c r="R88" s="132">
        <v>0.6</v>
      </c>
      <c r="S88" s="114">
        <f t="shared" si="1"/>
        <v>0.6</v>
      </c>
      <c r="T88" s="8" t="s">
        <v>344</v>
      </c>
      <c r="U88" s="8" t="s">
        <v>341</v>
      </c>
      <c r="V88" s="95">
        <f>32300000+10000000</f>
        <v>42300000</v>
      </c>
      <c r="W88" s="95">
        <f>32300000+7500000</f>
        <v>39800000</v>
      </c>
      <c r="X88" s="118">
        <f>W88/V88</f>
        <v>0.9408983451536643</v>
      </c>
      <c r="Y88" s="38" t="s">
        <v>374</v>
      </c>
      <c r="Z88" s="97" t="s">
        <v>393</v>
      </c>
      <c r="AA88" s="135" t="str">
        <f>'[1]PLAN DE ACCION'!AA88</f>
        <v>Se desarrollaron diferentes reuniones orientadas a la etapa preliminar a la convocatoria de los actores, que se efectuó en mayo de 2021 (No. Actas 6 Comité Principal de Bienestar Animal). Para la elaboración del documento de Política Pública se planteo por fases: 1- Preparatoria. 2-  Elaboración de la propuesta para la estructuración de la política pública. 3- Fase de Agenda pública. 4- Fase de Formulación. Actualmente ,  continua con el desarrollo de la segunda fase en: Elaborar esquema de participación:
- Identificación de actores y ciudadanía.
- Estrategia de convocatoria de acuerdo con cada fase de política pública.
- Ámbitos temáticos o categorías de discusión.
- Alcance y nivel de incidencia de la participación.
- Mecanismos de articulación de la participación al proceso de política y metodología. ///  Se culmino la 2da fase con una mesa del 21-09-2021 con ciudadanos animalistas y se dió inicio con la fase de Agenda Pública, en reunión de 17-09-2021 se efectuó el comité general de bienestar animal con la participación de CRQ, Gobernación del Quindío, Policía Nacional, Uniquindio, Bom Hulbol, y secretaría de Gobierno, Salud, Infraestructura, Despacho del Alcalde Gestor Social, etc. donde se trataron aspectos. derivados al Centro de Bienestar Animal. Así mismo se da inicio a la fase de formulación con la elaboración de árbol de problemas y soluciones, tomando como insumo inicial lo arrojado en las jornadas del diagnostico.</v>
      </c>
      <c r="AB88" s="39" t="s">
        <v>101</v>
      </c>
    </row>
    <row r="89" spans="1:28" s="1" customFormat="1" ht="108.75" customHeight="1">
      <c r="A89" s="323" t="s">
        <v>81</v>
      </c>
      <c r="B89" s="272" t="s">
        <v>82</v>
      </c>
      <c r="C89" s="238">
        <v>11</v>
      </c>
      <c r="D89" s="238" t="s">
        <v>83</v>
      </c>
      <c r="E89" s="241">
        <v>1</v>
      </c>
      <c r="F89" s="241">
        <v>1</v>
      </c>
      <c r="G89" s="238" t="s">
        <v>84</v>
      </c>
      <c r="H89" s="238" t="s">
        <v>85</v>
      </c>
      <c r="I89" s="245" t="s">
        <v>86</v>
      </c>
      <c r="J89" s="241">
        <v>1</v>
      </c>
      <c r="K89" s="301">
        <v>1</v>
      </c>
      <c r="L89" s="251" t="s">
        <v>197</v>
      </c>
      <c r="M89" s="252" t="s">
        <v>114</v>
      </c>
      <c r="N89" s="252" t="s">
        <v>204</v>
      </c>
      <c r="O89" s="43" t="s">
        <v>303</v>
      </c>
      <c r="P89" s="10">
        <v>1</v>
      </c>
      <c r="Q89" s="10">
        <v>1</v>
      </c>
      <c r="R89" s="46">
        <v>0.75</v>
      </c>
      <c r="S89" s="114">
        <f t="shared" si="1"/>
        <v>0.75</v>
      </c>
      <c r="T89" s="252" t="s">
        <v>345</v>
      </c>
      <c r="U89" s="252" t="s">
        <v>337</v>
      </c>
      <c r="V89" s="227">
        <f>141000000+228000000+326900000</f>
        <v>695900000</v>
      </c>
      <c r="W89" s="227">
        <f>141000000+225120000+228870000</f>
        <v>594990000</v>
      </c>
      <c r="X89" s="226">
        <f>W89/V89</f>
        <v>0.8549935335536715</v>
      </c>
      <c r="Y89" s="38" t="s">
        <v>374</v>
      </c>
      <c r="Z89" s="97" t="s">
        <v>393</v>
      </c>
      <c r="AA89" s="142" t="str">
        <f>'[1]PLAN DE ACCION'!AA89</f>
        <v>El 23 de Septiembre se eléboro circular número 030 enviada asesores de despacho, secretarios de despachos, directores de departamento  administrativos, gerentes de las entidades descentralizadas y sus respectivos enlaces donde se solicita el seguimiento del tablero de control del PDM, con un plazo maximo de entrega para el 11 de Octubre. Igualmente se informa que el rango máximo es del 43.75%, el rango medio 35% y el rango bajo del 24% a la fecha se está a la espera de la recepción de la información para su respectiva consolidación (75%)</v>
      </c>
      <c r="AB89" s="312" t="s">
        <v>100</v>
      </c>
    </row>
    <row r="90" spans="1:28" s="1" customFormat="1" ht="109.5" customHeight="1">
      <c r="A90" s="324"/>
      <c r="B90" s="273"/>
      <c r="C90" s="239"/>
      <c r="D90" s="239"/>
      <c r="E90" s="242"/>
      <c r="F90" s="242"/>
      <c r="G90" s="239"/>
      <c r="H90" s="239"/>
      <c r="I90" s="246"/>
      <c r="J90" s="242"/>
      <c r="K90" s="302"/>
      <c r="L90" s="251"/>
      <c r="M90" s="252"/>
      <c r="N90" s="252"/>
      <c r="O90" s="43" t="s">
        <v>213</v>
      </c>
      <c r="P90" s="8">
        <v>4</v>
      </c>
      <c r="Q90" s="8">
        <v>4</v>
      </c>
      <c r="R90" s="132">
        <v>3</v>
      </c>
      <c r="S90" s="114">
        <f t="shared" si="1"/>
        <v>0.75</v>
      </c>
      <c r="T90" s="252"/>
      <c r="U90" s="252"/>
      <c r="V90" s="227"/>
      <c r="W90" s="227"/>
      <c r="X90" s="226"/>
      <c r="Y90" s="97" t="s">
        <v>374</v>
      </c>
      <c r="Z90" s="97" t="s">
        <v>393</v>
      </c>
      <c r="AA90" s="142" t="str">
        <f>'[1]PLAN DE ACCION'!AA90</f>
        <v>Actualmente el ingeniero de sistemas asignado para esta actividad se encuentra en la construcción del aplicativo de tablero de control 75%</v>
      </c>
      <c r="AB90" s="312"/>
    </row>
    <row r="91" spans="1:28" s="1" customFormat="1" ht="90" customHeight="1">
      <c r="A91" s="324"/>
      <c r="B91" s="273"/>
      <c r="C91" s="239"/>
      <c r="D91" s="239"/>
      <c r="E91" s="242"/>
      <c r="F91" s="242"/>
      <c r="G91" s="239"/>
      <c r="H91" s="239"/>
      <c r="I91" s="246"/>
      <c r="J91" s="242"/>
      <c r="K91" s="302"/>
      <c r="L91" s="251"/>
      <c r="M91" s="252"/>
      <c r="N91" s="252"/>
      <c r="O91" s="43" t="s">
        <v>214</v>
      </c>
      <c r="P91" s="8">
        <v>1</v>
      </c>
      <c r="Q91" s="8">
        <v>1</v>
      </c>
      <c r="R91" s="132">
        <v>1</v>
      </c>
      <c r="S91" s="114">
        <f t="shared" si="1"/>
        <v>1</v>
      </c>
      <c r="T91" s="252"/>
      <c r="U91" s="252"/>
      <c r="V91" s="227"/>
      <c r="W91" s="227"/>
      <c r="X91" s="226"/>
      <c r="Y91" s="97" t="s">
        <v>374</v>
      </c>
      <c r="Z91" s="97" t="s">
        <v>393</v>
      </c>
      <c r="AA91" s="142" t="str">
        <f>'[1]PLAN DE ACCION'!AA91</f>
        <v>Se informa que para el periodo correspondiente de Julio a Octubre dicha accion se encuentra ejecutada en el 100%.</v>
      </c>
      <c r="AB91" s="312"/>
    </row>
    <row r="92" spans="1:28" s="1" customFormat="1" ht="73.5" customHeight="1">
      <c r="A92" s="324"/>
      <c r="B92" s="273"/>
      <c r="C92" s="239"/>
      <c r="D92" s="239"/>
      <c r="E92" s="242"/>
      <c r="F92" s="242"/>
      <c r="G92" s="239"/>
      <c r="H92" s="239"/>
      <c r="I92" s="246"/>
      <c r="J92" s="242"/>
      <c r="K92" s="302"/>
      <c r="L92" s="251"/>
      <c r="M92" s="252"/>
      <c r="N92" s="252"/>
      <c r="O92" s="43" t="s">
        <v>304</v>
      </c>
      <c r="P92" s="8">
        <v>1</v>
      </c>
      <c r="Q92" s="8">
        <v>1</v>
      </c>
      <c r="R92" s="132">
        <v>0.75</v>
      </c>
      <c r="S92" s="114">
        <f t="shared" si="1"/>
        <v>0.75</v>
      </c>
      <c r="T92" s="252"/>
      <c r="U92" s="252"/>
      <c r="V92" s="227"/>
      <c r="W92" s="227"/>
      <c r="X92" s="226"/>
      <c r="Y92" s="97" t="s">
        <v>374</v>
      </c>
      <c r="Z92" s="97" t="s">
        <v>393</v>
      </c>
      <c r="AA92" s="143" t="str">
        <f>'[1]PLAN DE ACCION'!AA92</f>
        <v>se realiza en cuestion de la elaboración del POAI, el 3 de septiembre del 2021 mediante oficio dp-pde-615 se solicitó a todas las dependencias  que manejan presupuesto de inversión realizar la distribución del techo presupuestal asignado para la vigencia 2022, toda vez que se debe radicar el proyecto de acuerdo en el concejo municipal el 1 de octubre, así mismo debían tener en cuenta las vigencias futuras que estuviesen aprobadas.- Se consolido la información recibida por todas las dependencias de la administración municipal y se elabora el POAI 2022, el cual se presentó ante el concejo de gobierno y el COMFIS el día 15 de septiembre en el cual quedo aprobado la siguiente apropiación definitiva para la vigencia del 2022:- Presupuesto incluyendo establecimientos públicos: $442.913.503.521. -Administración municipal sin establecimientos públicos: $435.222.348.199.- Finalmente el gasto público social $373.909.753.454.- Se esta a la espera de aprobación en el concejo municipal  (75%)</v>
      </c>
      <c r="AB92" s="312"/>
    </row>
    <row r="93" spans="1:28" s="1" customFormat="1" ht="144.75" customHeight="1">
      <c r="A93" s="324"/>
      <c r="B93" s="273"/>
      <c r="C93" s="239"/>
      <c r="D93" s="239"/>
      <c r="E93" s="242"/>
      <c r="F93" s="242"/>
      <c r="G93" s="239"/>
      <c r="H93" s="239"/>
      <c r="I93" s="246"/>
      <c r="J93" s="242"/>
      <c r="K93" s="302"/>
      <c r="L93" s="251"/>
      <c r="M93" s="252"/>
      <c r="N93" s="252"/>
      <c r="O93" s="43" t="s">
        <v>407</v>
      </c>
      <c r="P93" s="33">
        <v>2</v>
      </c>
      <c r="Q93" s="33">
        <v>2</v>
      </c>
      <c r="R93" s="148">
        <v>1.5</v>
      </c>
      <c r="S93" s="114">
        <f t="shared" si="1"/>
        <v>0.75</v>
      </c>
      <c r="T93" s="252"/>
      <c r="U93" s="252"/>
      <c r="V93" s="227"/>
      <c r="W93" s="227"/>
      <c r="X93" s="226"/>
      <c r="Y93" s="97" t="s">
        <v>374</v>
      </c>
      <c r="Z93" s="97" t="s">
        <v>393</v>
      </c>
      <c r="AA93" s="142" t="str">
        <f>'[1]PLAN DE ACCION'!AA93</f>
        <v>En reunión de Consejo de gobierno se presentó ante el Alcalde el corte al segundo trimestre el día 11 de agosto autorizando la publicación del informe consolidado y del informe de cada uno de las dependencias y entidades con corte trimestral, de igual manera se presentó el informe del corte del tablero de control mediante comité operativo del día 22 de septiembre se autorizó a dar inicio al proceso de seguimiento al plan de acción correspondiente al tercer trimestre. Mediante la circular 029 se dan  las directrices para que el seguimiento sea entregado el día 11 de octubre y realizar la rutina de consolidación de información y presentaciones de Consejo de gobierno. (75%)</v>
      </c>
      <c r="AB93" s="312"/>
    </row>
    <row r="94" spans="1:28" s="1" customFormat="1" ht="112.5" customHeight="1">
      <c r="A94" s="324"/>
      <c r="B94" s="273"/>
      <c r="C94" s="239"/>
      <c r="D94" s="239"/>
      <c r="E94" s="242"/>
      <c r="F94" s="242"/>
      <c r="G94" s="239"/>
      <c r="H94" s="239"/>
      <c r="I94" s="246"/>
      <c r="J94" s="242"/>
      <c r="K94" s="302"/>
      <c r="L94" s="251"/>
      <c r="M94" s="252"/>
      <c r="N94" s="252"/>
      <c r="O94" s="43" t="s">
        <v>305</v>
      </c>
      <c r="P94" s="10">
        <v>1</v>
      </c>
      <c r="Q94" s="10">
        <v>1</v>
      </c>
      <c r="R94" s="46">
        <v>0.6</v>
      </c>
      <c r="S94" s="114">
        <f t="shared" si="1"/>
        <v>0.6</v>
      </c>
      <c r="T94" s="252"/>
      <c r="U94" s="252"/>
      <c r="V94" s="227"/>
      <c r="W94" s="227"/>
      <c r="X94" s="226"/>
      <c r="Y94" s="97" t="s">
        <v>374</v>
      </c>
      <c r="Z94" s="97" t="s">
        <v>393</v>
      </c>
      <c r="AA94" s="142" t="str">
        <f>'[1]PLAN DE ACCION'!AA94</f>
        <v>En cuanto al plan Indicativo vs SIEE (Sistema de Información y Evaluación de la Eficacia) se hace necesario resaltar que para este tercer trimestre se llevó a cabo la inclusión de la información en el aplicativo KPT del Departamento Nacional de Planeación, a través del cual el Gobierno nacional solicitó el diligenciamiento de la información en esta matriz dispuesta para tal fin , toda vez que la forma en que se evaluaba el Plan de Desarrollo anteriormente que era a través del aplicativo SIEE ha cambiado para esta vigencia y se seguirá realizando a través del KPT: sin embargo por la premura de la inclusión de la información, se diligencio con algunas inconsistencias que deberán ser modificadas una vez sea habilitado nuevamente el aplicativo por el DNP; no obstante a la fecha no ha sido posible habilitar dicha plataforma toda vez que aún queda un gran número de Municipios por reportar la información a este aplicativo y así revisar toda la información a nivel País por parte del DNP para poder habilitar la revisión y ajuste final a la información. Igualmente con la parte financiera sucede lo mismo que con la física, ya que es un aplicativo bastante complejo que no permite habilitar módulos, sino por el contrario se habilita toda la matriz. (60%)</v>
      </c>
      <c r="AB94" s="312"/>
    </row>
    <row r="95" spans="1:28" s="1" customFormat="1" ht="118.5" customHeight="1">
      <c r="A95" s="324"/>
      <c r="B95" s="273"/>
      <c r="C95" s="239"/>
      <c r="D95" s="239"/>
      <c r="E95" s="242"/>
      <c r="F95" s="242"/>
      <c r="G95" s="239"/>
      <c r="H95" s="239"/>
      <c r="I95" s="246"/>
      <c r="J95" s="242"/>
      <c r="K95" s="302"/>
      <c r="L95" s="251"/>
      <c r="M95" s="252"/>
      <c r="N95" s="252"/>
      <c r="O95" s="43" t="s">
        <v>306</v>
      </c>
      <c r="P95" s="10">
        <v>1</v>
      </c>
      <c r="Q95" s="10">
        <v>1</v>
      </c>
      <c r="R95" s="46">
        <v>0.75</v>
      </c>
      <c r="S95" s="114">
        <f t="shared" si="1"/>
        <v>0.75</v>
      </c>
      <c r="T95" s="252"/>
      <c r="U95" s="252"/>
      <c r="V95" s="227"/>
      <c r="W95" s="227"/>
      <c r="X95" s="226"/>
      <c r="Y95" s="97" t="s">
        <v>374</v>
      </c>
      <c r="Z95" s="97" t="s">
        <v>393</v>
      </c>
      <c r="AA95" s="142" t="str">
        <f>'[1]PLAN DE ACCION'!AA95</f>
        <v>Teniendo en cuenta la Mesa técnica de transparencia realizada el 28 de junio de 2021 se inicia el trimestre conversión dos del Plan anticorrupción atención al ciudadano de igual manera atendiendo los lineamientos del departamento administrativo de la función pública, se realiza modificación al plan anticorrupción atención al ciudadano mediante mesa técnica de transparencia realizada el día 25 de agosto atendiendo el cronograma de reuniones; se realiza el proceso de rendición de cuentas del plan anticorrupción y Atención al ciudadano atendiendo el cronograma aprobado y concertado con la unidad de participación ciudadana realizando 6 sesiones en los días 20- 21- 22- 23 -27 y 28 de septiembre en las comunas 1-3-4-5-7-8 y sector rural (75%)</v>
      </c>
      <c r="AB95" s="312"/>
    </row>
    <row r="96" spans="1:28" s="1" customFormat="1" ht="73.5" customHeight="1">
      <c r="A96" s="324"/>
      <c r="B96" s="273"/>
      <c r="C96" s="240"/>
      <c r="D96" s="240"/>
      <c r="E96" s="243"/>
      <c r="F96" s="243"/>
      <c r="G96" s="239"/>
      <c r="H96" s="240"/>
      <c r="I96" s="247"/>
      <c r="J96" s="243"/>
      <c r="K96" s="309"/>
      <c r="L96" s="251"/>
      <c r="M96" s="252"/>
      <c r="N96" s="252"/>
      <c r="O96" s="43" t="s">
        <v>215</v>
      </c>
      <c r="P96" s="8">
        <v>1</v>
      </c>
      <c r="Q96" s="8">
        <v>1</v>
      </c>
      <c r="R96" s="132">
        <v>1</v>
      </c>
      <c r="S96" s="114">
        <f t="shared" si="1"/>
        <v>1</v>
      </c>
      <c r="T96" s="252"/>
      <c r="U96" s="252"/>
      <c r="V96" s="227"/>
      <c r="W96" s="227"/>
      <c r="X96" s="226"/>
      <c r="Y96" s="97" t="s">
        <v>374</v>
      </c>
      <c r="Z96" s="97" t="s">
        <v>393</v>
      </c>
      <c r="AA96" s="142" t="str">
        <f>'[1]PLAN DE ACCION'!AA96</f>
        <v>Atendiendo los lineamientos del departamento administrativo de la función pública mediante el plan de gestión territorial el día 24 de agosto es aprobado el plan de medios para la divulgación de la ficha básica municipal volviéndose  a hacer  un segundo proceso divulgación. Se llevo a cabo el proceso de elaboración, diagramación, socialización y divulgación de la ficha básica municipal 2020. Para una difusión amplia, a demás se laboro el plan de medios con el objetivo de informar  que ya se encuentra disponible la Ficha Basica Municipal. El documento fue publicado en las paginas www.armenia.gov.co y http://planeacionarmenia.gov.co/ficha-basica-municipal-2/ para su respectiva consulta. (100%)
</v>
      </c>
      <c r="AB96" s="312"/>
    </row>
    <row r="97" spans="1:28" s="1" customFormat="1" ht="140.25" customHeight="1">
      <c r="A97" s="324"/>
      <c r="B97" s="273"/>
      <c r="C97" s="238">
        <v>11</v>
      </c>
      <c r="D97" s="238" t="s">
        <v>83</v>
      </c>
      <c r="E97" s="241">
        <v>1</v>
      </c>
      <c r="F97" s="241">
        <v>1</v>
      </c>
      <c r="G97" s="239"/>
      <c r="H97" s="238" t="s">
        <v>87</v>
      </c>
      <c r="I97" s="245" t="s">
        <v>88</v>
      </c>
      <c r="J97" s="241">
        <v>1</v>
      </c>
      <c r="K97" s="301">
        <v>1</v>
      </c>
      <c r="L97" s="251"/>
      <c r="M97" s="252"/>
      <c r="N97" s="252"/>
      <c r="O97" s="43" t="s">
        <v>216</v>
      </c>
      <c r="P97" s="8">
        <v>7</v>
      </c>
      <c r="Q97" s="8">
        <v>7</v>
      </c>
      <c r="R97" s="132">
        <v>7</v>
      </c>
      <c r="S97" s="114">
        <f t="shared" si="1"/>
        <v>1</v>
      </c>
      <c r="T97" s="252"/>
      <c r="U97" s="252"/>
      <c r="V97" s="227"/>
      <c r="W97" s="227"/>
      <c r="X97" s="226"/>
      <c r="Y97" s="97" t="s">
        <v>374</v>
      </c>
      <c r="Z97" s="97" t="s">
        <v>393</v>
      </c>
      <c r="AA97" s="142" t="str">
        <f>'[1]PLAN DE ACCION'!AA97</f>
        <v>Se cumplio con las fechas determinadas por la Contraloria General de la Republica para la rendición de cuentas en el aplicativo SIRECI, proceso terminado el día 03 de octubrel, según prorroga nacional, de igual manera el DAPM participo en la elaboración de la resolución que reglamenta en adelante la rendicion de cuentas en el aplicativo SIRECI. </v>
      </c>
      <c r="AB97" s="312"/>
    </row>
    <row r="98" spans="1:28" s="1" customFormat="1" ht="57">
      <c r="A98" s="324"/>
      <c r="B98" s="273"/>
      <c r="C98" s="239"/>
      <c r="D98" s="239"/>
      <c r="E98" s="242"/>
      <c r="F98" s="242"/>
      <c r="G98" s="239"/>
      <c r="H98" s="239"/>
      <c r="I98" s="246"/>
      <c r="J98" s="242"/>
      <c r="K98" s="302"/>
      <c r="L98" s="251"/>
      <c r="M98" s="252"/>
      <c r="N98" s="252"/>
      <c r="O98" s="43" t="s">
        <v>223</v>
      </c>
      <c r="P98" s="8">
        <v>1</v>
      </c>
      <c r="Q98" s="8">
        <v>1</v>
      </c>
      <c r="R98" s="132">
        <v>1</v>
      </c>
      <c r="S98" s="114">
        <f t="shared" si="1"/>
        <v>1</v>
      </c>
      <c r="T98" s="252"/>
      <c r="U98" s="252"/>
      <c r="V98" s="227"/>
      <c r="W98" s="227"/>
      <c r="X98" s="226"/>
      <c r="Y98" s="97" t="s">
        <v>374</v>
      </c>
      <c r="Z98" s="97" t="s">
        <v>393</v>
      </c>
      <c r="AA98" s="142" t="str">
        <f>'[1]PLAN DE ACCION'!AA98</f>
        <v>A la fecha se encuentran formulando proyectos en aras de presentarlos ante los diferentes ministerios con el fin de obtener recursos para su financiamiento</v>
      </c>
      <c r="AB98" s="312"/>
    </row>
    <row r="99" spans="1:28" s="1" customFormat="1" ht="111.75" customHeight="1">
      <c r="A99" s="324"/>
      <c r="B99" s="273"/>
      <c r="C99" s="239"/>
      <c r="D99" s="239"/>
      <c r="E99" s="242"/>
      <c r="F99" s="242"/>
      <c r="G99" s="239"/>
      <c r="H99" s="239"/>
      <c r="I99" s="246"/>
      <c r="J99" s="242"/>
      <c r="K99" s="302"/>
      <c r="L99" s="251"/>
      <c r="M99" s="252"/>
      <c r="N99" s="252"/>
      <c r="O99" s="43" t="s">
        <v>224</v>
      </c>
      <c r="P99" s="8">
        <v>4</v>
      </c>
      <c r="Q99" s="8">
        <v>4</v>
      </c>
      <c r="R99" s="132">
        <v>2</v>
      </c>
      <c r="S99" s="114">
        <f t="shared" si="1"/>
        <v>0.5</v>
      </c>
      <c r="T99" s="252"/>
      <c r="U99" s="252"/>
      <c r="V99" s="227"/>
      <c r="W99" s="227"/>
      <c r="X99" s="226"/>
      <c r="Y99" s="97" t="s">
        <v>374</v>
      </c>
      <c r="Z99" s="97" t="s">
        <v>393</v>
      </c>
      <c r="AA99" s="142" t="str">
        <f>'[1]PLAN DE ACCION'!AA99</f>
        <v>En cuanto al seguimiento a los proyectos de inversión, se ha realizado  en la plataforma SPI del DNP, se ha brindado capacitación a todas las dependencias para realizar este seguimiento de forma acumulativa cada mes, así mismo las dependencias que han requerido formular proyectos en la MGA</v>
      </c>
      <c r="AB99" s="312"/>
    </row>
    <row r="100" spans="1:28" s="1" customFormat="1" ht="102">
      <c r="A100" s="324"/>
      <c r="B100" s="273"/>
      <c r="C100" s="240"/>
      <c r="D100" s="240"/>
      <c r="E100" s="243"/>
      <c r="F100" s="243"/>
      <c r="G100" s="239"/>
      <c r="H100" s="240"/>
      <c r="I100" s="247"/>
      <c r="J100" s="243"/>
      <c r="K100" s="309"/>
      <c r="L100" s="251"/>
      <c r="M100" s="252"/>
      <c r="N100" s="252"/>
      <c r="O100" s="43" t="s">
        <v>225</v>
      </c>
      <c r="P100" s="8">
        <v>0</v>
      </c>
      <c r="Q100" s="8">
        <v>1</v>
      </c>
      <c r="R100" s="132">
        <v>1</v>
      </c>
      <c r="S100" s="114">
        <f t="shared" si="1"/>
        <v>1</v>
      </c>
      <c r="T100" s="252"/>
      <c r="U100" s="252"/>
      <c r="V100" s="227"/>
      <c r="W100" s="227"/>
      <c r="X100" s="226"/>
      <c r="Y100" s="97" t="s">
        <v>374</v>
      </c>
      <c r="Z100" s="97" t="s">
        <v>393</v>
      </c>
      <c r="AA100" s="142" t="str">
        <f>'[1]PLAN DE ACCION'!AA100</f>
        <v> Banco de Programas y Proyectos de la Alcaldía Municipal hace parte de un gran Sistema de Seguimiento Institucional  de  funcionamiento, de  seguimiento y control por lo cual se establecio la compra   mismo     El Banco de Programas y proyectos de Inversión Municipal en la actualidad se encuentra realizando el seguimiento al componente  de presupuesto de Inversion del aplicativo del DNP (PPTO). Se expidieron 4,502 viabilidades </v>
      </c>
      <c r="AB100" s="312"/>
    </row>
    <row r="101" spans="1:28" s="1" customFormat="1" ht="81" customHeight="1">
      <c r="A101" s="324"/>
      <c r="B101" s="273"/>
      <c r="C101" s="238">
        <v>11</v>
      </c>
      <c r="D101" s="238" t="s">
        <v>83</v>
      </c>
      <c r="E101" s="241">
        <v>1</v>
      </c>
      <c r="F101" s="241">
        <v>1</v>
      </c>
      <c r="G101" s="239"/>
      <c r="H101" s="238" t="s">
        <v>89</v>
      </c>
      <c r="I101" s="245" t="s">
        <v>307</v>
      </c>
      <c r="J101" s="241">
        <v>1</v>
      </c>
      <c r="K101" s="301">
        <v>1</v>
      </c>
      <c r="L101" s="251"/>
      <c r="M101" s="252"/>
      <c r="N101" s="252"/>
      <c r="O101" s="43" t="s">
        <v>226</v>
      </c>
      <c r="P101" s="10">
        <v>1</v>
      </c>
      <c r="Q101" s="10">
        <v>1</v>
      </c>
      <c r="R101" s="46">
        <v>0.5</v>
      </c>
      <c r="S101" s="114">
        <f t="shared" si="1"/>
        <v>0.5</v>
      </c>
      <c r="T101" s="252"/>
      <c r="U101" s="252"/>
      <c r="V101" s="227"/>
      <c r="W101" s="227"/>
      <c r="X101" s="226"/>
      <c r="Y101" s="97" t="s">
        <v>374</v>
      </c>
      <c r="Z101" s="97" t="s">
        <v>393</v>
      </c>
      <c r="AA101" s="142" t="str">
        <f>'[1]PLAN DE ACCION'!AA101</f>
        <v>se informa que a la fecha se tienen 3 tramites en proceso de politica de racionalización los cuales son: 1. impuesto predial certificado: que a la fecha se puede realizar el pago en linea, 2. impuesto de industria y comercio: recibo se puede descargar de la pagina, 3. concepto de uso de suelos, por el momento este tramite se realiza por correo electronico. teniendo presente que actualmente en el SUIT dichos tramites son presenciales, a la fecha se deja tramites parcialmente/totamelte virtuales (70%)</v>
      </c>
      <c r="AB101" s="312"/>
    </row>
    <row r="102" spans="1:28" s="1" customFormat="1" ht="44.25" customHeight="1">
      <c r="A102" s="324"/>
      <c r="B102" s="273"/>
      <c r="C102" s="239"/>
      <c r="D102" s="239"/>
      <c r="E102" s="242"/>
      <c r="F102" s="242"/>
      <c r="G102" s="239"/>
      <c r="H102" s="239"/>
      <c r="I102" s="246"/>
      <c r="J102" s="242"/>
      <c r="K102" s="302"/>
      <c r="L102" s="251"/>
      <c r="M102" s="252"/>
      <c r="N102" s="252"/>
      <c r="O102" s="43" t="s">
        <v>284</v>
      </c>
      <c r="P102" s="10">
        <v>1</v>
      </c>
      <c r="Q102" s="10">
        <v>1</v>
      </c>
      <c r="R102" s="46">
        <v>0.8</v>
      </c>
      <c r="S102" s="114">
        <f t="shared" si="1"/>
        <v>0.8</v>
      </c>
      <c r="T102" s="252"/>
      <c r="U102" s="252"/>
      <c r="V102" s="227"/>
      <c r="W102" s="227"/>
      <c r="X102" s="226"/>
      <c r="Y102" s="97" t="s">
        <v>374</v>
      </c>
      <c r="Z102" s="97" t="s">
        <v>393</v>
      </c>
      <c r="AA102" s="142" t="str">
        <f>'[1]PLAN DE ACCION'!AA102</f>
        <v>Se actualizó permanentemente la página web, se implementó el módulo del sistema de riesgos de la alcaldía seguir ubicado en la parte inferior del sistema del plan anticorrupción y atención al ciudadano. de igual manera también se modificó el modo de presentación de los mecanismos de participación en el cual se implementaron las pestañas correspondientes a esta vigencia teniendo en cuenta que para el mes de septiembre se tenía previsto la presentación o la revisión de la página web de la alcaldía mediante correo institucional de la asesoría administrativa se informa que la Procuraduría General de la nación determina nuevas directrices para publicar la información según la ley 17 12 esas nuevas directrices afectan tanto la página web de la alcaldía como la página web de la del departamento administrativo de planeación. se tiene previsto la modificación de la página Según las directrices de la circular 018 de septiembre 22/2021 (80%)</v>
      </c>
      <c r="AB102" s="312"/>
    </row>
    <row r="103" spans="1:28" s="1" customFormat="1" ht="118.5" customHeight="1">
      <c r="A103" s="324"/>
      <c r="B103" s="273"/>
      <c r="C103" s="239"/>
      <c r="D103" s="239"/>
      <c r="E103" s="242"/>
      <c r="F103" s="242"/>
      <c r="G103" s="239"/>
      <c r="H103" s="239"/>
      <c r="I103" s="246"/>
      <c r="J103" s="242"/>
      <c r="K103" s="302"/>
      <c r="L103" s="251"/>
      <c r="M103" s="252"/>
      <c r="N103" s="252"/>
      <c r="O103" s="43" t="s">
        <v>285</v>
      </c>
      <c r="P103" s="10">
        <v>1</v>
      </c>
      <c r="Q103" s="10">
        <v>1</v>
      </c>
      <c r="R103" s="46">
        <v>0.6</v>
      </c>
      <c r="S103" s="114">
        <f t="shared" si="1"/>
        <v>0.6</v>
      </c>
      <c r="T103" s="252"/>
      <c r="U103" s="252"/>
      <c r="V103" s="227"/>
      <c r="W103" s="227"/>
      <c r="X103" s="226"/>
      <c r="Y103" s="97" t="s">
        <v>374</v>
      </c>
      <c r="Z103" s="97" t="s">
        <v>393</v>
      </c>
      <c r="AA103" s="138" t="str">
        <f>'[1]PLAN DE ACCION'!AA103</f>
        <v>De acuerdo a la información aportada en el punto relacionado con el Plan Indicativo, se tiene que por ser un complemento de la misma, la información relacionada a este item, ya se encuentra explicado en el item enunciado con anterioridad (60%)</v>
      </c>
      <c r="AB103" s="312"/>
    </row>
    <row r="104" spans="1:28" s="1" customFormat="1" ht="126" customHeight="1">
      <c r="A104" s="324"/>
      <c r="B104" s="273"/>
      <c r="C104" s="239"/>
      <c r="D104" s="239"/>
      <c r="E104" s="242"/>
      <c r="F104" s="242"/>
      <c r="G104" s="239"/>
      <c r="H104" s="239"/>
      <c r="I104" s="246"/>
      <c r="J104" s="242"/>
      <c r="K104" s="302"/>
      <c r="L104" s="251"/>
      <c r="M104" s="252"/>
      <c r="N104" s="252"/>
      <c r="O104" s="43" t="s">
        <v>286</v>
      </c>
      <c r="P104" s="10">
        <v>0.8</v>
      </c>
      <c r="Q104" s="10">
        <v>0.9</v>
      </c>
      <c r="R104" s="46">
        <v>0.75</v>
      </c>
      <c r="S104" s="114">
        <f t="shared" si="1"/>
        <v>0.8333333333333333</v>
      </c>
      <c r="T104" s="252"/>
      <c r="U104" s="252"/>
      <c r="V104" s="227"/>
      <c r="W104" s="227"/>
      <c r="X104" s="226"/>
      <c r="Y104" s="97" t="s">
        <v>374</v>
      </c>
      <c r="Z104" s="97" t="s">
        <v>393</v>
      </c>
      <c r="AA104" s="142" t="str">
        <f>'[1]PLAN DE ACCION'!AA104</f>
        <v>En el ejercicio de la Secretaría técnica del Comité institucional de gestiones desempeño se llevaron a cabo el comité el día 6 de agosto y el 21 de septiembre, con todas las dependencias,  proceso en la página web http://planeacionarmenia.gov.co/; el Comité municipal de desempeño quedó programado para el día 16 de octubre; respecto al plan de gestión de mejoramiento se presentó un informe  en el comité realizado el día 21 de septiembre, en el ejercicio de la Secretaría técnica del comité de atencion a ciudadanos se llevaron a cabo la reunión  el 30 de agosto, igualmente se remitió la información de ejecución del componente priorizado racionalización de trámites y riesgos y controles para el seguimiento al convenio 02 26/2 1020 se publicó en página web todo lo referente a la capacitación de la administración del riesgo quedando implicada en la página de planeación, se actualizaron todas las políticas de gestión del desempeño de la alcaldía quedando por determinar la política d Del modelo integrado de planeación y gestión MIPG- (75%)</v>
      </c>
      <c r="AB104" s="312"/>
    </row>
    <row r="105" spans="1:28" s="1" customFormat="1" ht="97.5" customHeight="1">
      <c r="A105" s="324"/>
      <c r="B105" s="273"/>
      <c r="C105" s="239"/>
      <c r="D105" s="239"/>
      <c r="E105" s="242"/>
      <c r="F105" s="242"/>
      <c r="G105" s="239"/>
      <c r="H105" s="239"/>
      <c r="I105" s="246"/>
      <c r="J105" s="242"/>
      <c r="K105" s="302"/>
      <c r="L105" s="251"/>
      <c r="M105" s="252"/>
      <c r="N105" s="252"/>
      <c r="O105" s="43" t="s">
        <v>287</v>
      </c>
      <c r="P105" s="10">
        <v>1</v>
      </c>
      <c r="Q105" s="10">
        <v>1</v>
      </c>
      <c r="R105" s="46">
        <v>1</v>
      </c>
      <c r="S105" s="114">
        <f t="shared" si="1"/>
        <v>1</v>
      </c>
      <c r="T105" s="252"/>
      <c r="U105" s="252"/>
      <c r="V105" s="227"/>
      <c r="W105" s="227"/>
      <c r="X105" s="226"/>
      <c r="Y105" s="97" t="s">
        <v>374</v>
      </c>
      <c r="Z105" s="97" t="s">
        <v>393</v>
      </c>
      <c r="AA105" s="142" t="str">
        <f>'[1]PLAN DE ACCION'!AA105</f>
        <v>En el Comité institucional de gestión y desempeño realizado el 21 de septiembre se verificó el seguimiento al plan de gestión territorial formulado con las recomendaciones resultantes de la calificación del reporte en el aplicativo FURAG el seguimiento quedó determinado hacerlo el departamento de control interno en el mes de noviembre. 100%</v>
      </c>
      <c r="AB105" s="312"/>
    </row>
    <row r="106" spans="1:28" s="1" customFormat="1" ht="139.5" customHeight="1">
      <c r="A106" s="324"/>
      <c r="B106" s="273"/>
      <c r="C106" s="239"/>
      <c r="D106" s="239"/>
      <c r="E106" s="242"/>
      <c r="F106" s="242"/>
      <c r="G106" s="239"/>
      <c r="H106" s="239"/>
      <c r="I106" s="246"/>
      <c r="J106" s="242"/>
      <c r="K106" s="302"/>
      <c r="L106" s="251"/>
      <c r="M106" s="252"/>
      <c r="N106" s="252"/>
      <c r="O106" s="43" t="s">
        <v>288</v>
      </c>
      <c r="P106" s="10">
        <v>1</v>
      </c>
      <c r="Q106" s="10">
        <v>1</v>
      </c>
      <c r="R106" s="46">
        <v>1</v>
      </c>
      <c r="S106" s="114">
        <f t="shared" si="1"/>
        <v>1</v>
      </c>
      <c r="T106" s="252"/>
      <c r="U106" s="252"/>
      <c r="V106" s="227"/>
      <c r="W106" s="227"/>
      <c r="X106" s="226"/>
      <c r="Y106" s="97" t="s">
        <v>374</v>
      </c>
      <c r="Z106" s="97" t="s">
        <v>393</v>
      </c>
      <c r="AA106" s="142" t="str">
        <f>'[1]PLAN DE ACCION'!AA106</f>
        <v>Se ejerció el derecho de contradicción respecto a información rendida en la rendición electrónica de cuentas en el CIA   mediante oficio del día 029 de julio remitido a la Contraloría municipal en el subcomité de infancia realizado el 20 de septiembre, se validó el proceso de autovaloración de capacidad institucional de la alcaldía de Armenia atendiendo los lineamientos del sistema Nacional. 100%</v>
      </c>
      <c r="AB106" s="312"/>
    </row>
    <row r="107" spans="1:28" s="1" customFormat="1" ht="103.5" customHeight="1">
      <c r="A107" s="324"/>
      <c r="B107" s="273"/>
      <c r="C107" s="240"/>
      <c r="D107" s="240"/>
      <c r="E107" s="243"/>
      <c r="F107" s="243"/>
      <c r="G107" s="239"/>
      <c r="H107" s="240"/>
      <c r="I107" s="247"/>
      <c r="J107" s="243"/>
      <c r="K107" s="309"/>
      <c r="L107" s="251"/>
      <c r="M107" s="252"/>
      <c r="N107" s="252"/>
      <c r="O107" s="43" t="s">
        <v>289</v>
      </c>
      <c r="P107" s="10">
        <v>1</v>
      </c>
      <c r="Q107" s="10">
        <v>1</v>
      </c>
      <c r="R107" s="46">
        <v>0.75</v>
      </c>
      <c r="S107" s="114">
        <f t="shared" si="1"/>
        <v>0.75</v>
      </c>
      <c r="T107" s="252"/>
      <c r="U107" s="252"/>
      <c r="V107" s="227"/>
      <c r="W107" s="227"/>
      <c r="X107" s="226"/>
      <c r="Y107" s="97" t="s">
        <v>374</v>
      </c>
      <c r="Z107" s="97" t="s">
        <v>393</v>
      </c>
      <c r="AA107" s="138" t="str">
        <f>'[1]PLAN DE ACCION'!AA107</f>
        <v>Se implemento la  administración de la PAGINA WEB planeación@armenia.gov.co  en Cumplimiento de la 1174 de 2011 y 1712 de 2014,  con la Compilación de Información, Migración  Rutinas de reportes destacandose la publicación de todos los documentos relzacionados con la Planificación Participativa del Municipio,  en el siguiente link: http://planeacionarmenia.gov.co/mecanismos-de-participacion-ciudadana/ 75%</v>
      </c>
      <c r="AB107" s="312"/>
    </row>
    <row r="108" spans="1:28" s="1" customFormat="1" ht="108.75" customHeight="1">
      <c r="A108" s="324"/>
      <c r="B108" s="273"/>
      <c r="C108" s="238">
        <v>11</v>
      </c>
      <c r="D108" s="238" t="s">
        <v>83</v>
      </c>
      <c r="E108" s="241">
        <v>1</v>
      </c>
      <c r="F108" s="241">
        <v>1</v>
      </c>
      <c r="G108" s="239"/>
      <c r="H108" s="238" t="s">
        <v>90</v>
      </c>
      <c r="I108" s="245" t="s">
        <v>91</v>
      </c>
      <c r="J108" s="241">
        <v>1</v>
      </c>
      <c r="K108" s="301">
        <v>1</v>
      </c>
      <c r="L108" s="251" t="s">
        <v>199</v>
      </c>
      <c r="M108" s="252" t="s">
        <v>115</v>
      </c>
      <c r="N108" s="252" t="s">
        <v>198</v>
      </c>
      <c r="O108" s="56" t="s">
        <v>308</v>
      </c>
      <c r="P108" s="10">
        <v>1</v>
      </c>
      <c r="Q108" s="10">
        <v>1</v>
      </c>
      <c r="R108" s="46">
        <v>0.75</v>
      </c>
      <c r="S108" s="114">
        <f t="shared" si="1"/>
        <v>0.75</v>
      </c>
      <c r="T108" s="252" t="s">
        <v>346</v>
      </c>
      <c r="U108" s="252" t="s">
        <v>347</v>
      </c>
      <c r="V108" s="227">
        <f>150000000+97747294+42900000</f>
        <v>290647294</v>
      </c>
      <c r="W108" s="227">
        <f>45307000+46150000</f>
        <v>91457000</v>
      </c>
      <c r="X108" s="226">
        <f>W108/V108</f>
        <v>0.31466661444300253</v>
      </c>
      <c r="Y108" s="97" t="s">
        <v>374</v>
      </c>
      <c r="Z108" s="97" t="s">
        <v>393</v>
      </c>
      <c r="AA108" s="142" t="str">
        <f>'[1]PLAN DE ACCION'!AA108</f>
        <v>Actualmete se presta apoyo a la organización y logistica del congreso Nacional del Sistema de planeación 2021, el cual sera realizado para el mes de Noviembre. 75%</v>
      </c>
      <c r="AB108" s="312" t="s">
        <v>100</v>
      </c>
    </row>
    <row r="109" spans="1:28" s="1" customFormat="1" ht="106.5" customHeight="1">
      <c r="A109" s="324"/>
      <c r="B109" s="273"/>
      <c r="C109" s="239"/>
      <c r="D109" s="239"/>
      <c r="E109" s="242"/>
      <c r="F109" s="242"/>
      <c r="G109" s="239"/>
      <c r="H109" s="239"/>
      <c r="I109" s="246"/>
      <c r="J109" s="242"/>
      <c r="K109" s="302"/>
      <c r="L109" s="251"/>
      <c r="M109" s="252"/>
      <c r="N109" s="252"/>
      <c r="O109" s="56" t="s">
        <v>309</v>
      </c>
      <c r="P109" s="8">
        <v>4</v>
      </c>
      <c r="Q109" s="8">
        <v>4</v>
      </c>
      <c r="R109" s="132">
        <v>1</v>
      </c>
      <c r="S109" s="114">
        <f t="shared" si="1"/>
        <v>0.25</v>
      </c>
      <c r="T109" s="252"/>
      <c r="U109" s="252"/>
      <c r="V109" s="227"/>
      <c r="W109" s="227"/>
      <c r="X109" s="226"/>
      <c r="Y109" s="97" t="s">
        <v>374</v>
      </c>
      <c r="Z109" s="97" t="s">
        <v>393</v>
      </c>
      <c r="AA109" s="142" t="str">
        <f>'[1]PLAN DE ACCION'!AA109</f>
        <v>para el mes de Agosto se realiza la conformación del concejo municipal de participación ciudadana, se solicita agenta al Alcalde para la realizacion de la primera sesion de participacion ciudadana. (20%)</v>
      </c>
      <c r="AB109" s="312"/>
    </row>
    <row r="110" spans="1:28" s="1" customFormat="1" ht="120.75" customHeight="1">
      <c r="A110" s="324"/>
      <c r="B110" s="273"/>
      <c r="C110" s="239"/>
      <c r="D110" s="239"/>
      <c r="E110" s="242"/>
      <c r="F110" s="242"/>
      <c r="G110" s="239"/>
      <c r="H110" s="239"/>
      <c r="I110" s="246"/>
      <c r="J110" s="242"/>
      <c r="K110" s="302"/>
      <c r="L110" s="251"/>
      <c r="M110" s="252"/>
      <c r="N110" s="252"/>
      <c r="O110" s="56" t="s">
        <v>310</v>
      </c>
      <c r="P110" s="8">
        <v>4</v>
      </c>
      <c r="Q110" s="8">
        <v>4</v>
      </c>
      <c r="R110" s="132">
        <v>4</v>
      </c>
      <c r="S110" s="114">
        <f t="shared" si="1"/>
        <v>1</v>
      </c>
      <c r="T110" s="252"/>
      <c r="U110" s="252"/>
      <c r="V110" s="227"/>
      <c r="W110" s="227"/>
      <c r="X110" s="226"/>
      <c r="Y110" s="97" t="s">
        <v>374</v>
      </c>
      <c r="Z110" s="97" t="s">
        <v>393</v>
      </c>
      <c r="AA110" s="142" t="str">
        <f>'[1]PLAN DE ACCION'!AA110</f>
        <v>se realiza actualmente asistencia técnica  y metodologica al Comité de Desarrollo Local Particiaptivo CODELPA Directivo y Opertaivo según acuerdo del 01 del 2011 </v>
      </c>
      <c r="AB110" s="312"/>
    </row>
    <row r="111" spans="1:28" s="1" customFormat="1" ht="78.75" customHeight="1">
      <c r="A111" s="324"/>
      <c r="B111" s="273"/>
      <c r="C111" s="240"/>
      <c r="D111" s="240"/>
      <c r="E111" s="243"/>
      <c r="F111" s="243"/>
      <c r="G111" s="240"/>
      <c r="H111" s="240"/>
      <c r="I111" s="247"/>
      <c r="J111" s="243"/>
      <c r="K111" s="309"/>
      <c r="L111" s="251"/>
      <c r="M111" s="252"/>
      <c r="N111" s="252"/>
      <c r="O111" s="56" t="s">
        <v>311</v>
      </c>
      <c r="P111" s="8">
        <v>11</v>
      </c>
      <c r="Q111" s="8">
        <v>11</v>
      </c>
      <c r="R111" s="132">
        <v>11</v>
      </c>
      <c r="S111" s="114">
        <f t="shared" si="1"/>
        <v>1</v>
      </c>
      <c r="T111" s="252"/>
      <c r="U111" s="252"/>
      <c r="V111" s="227"/>
      <c r="W111" s="227"/>
      <c r="X111" s="226"/>
      <c r="Y111" s="97" t="s">
        <v>374</v>
      </c>
      <c r="Z111" s="97" t="s">
        <v>393</v>
      </c>
      <c r="AA111" s="142" t="str">
        <f>'[1]PLAN DE ACCION'!AA111</f>
        <v>actualmente se esta realizando la organización de fichas presupuestales para presupuesto participativo vigencia 2022</v>
      </c>
      <c r="AB111" s="312"/>
    </row>
    <row r="112" spans="1:28" s="1" customFormat="1" ht="72.75" customHeight="1">
      <c r="A112" s="324"/>
      <c r="B112" s="273"/>
      <c r="C112" s="238">
        <v>11</v>
      </c>
      <c r="D112" s="238" t="s">
        <v>83</v>
      </c>
      <c r="E112" s="241">
        <v>1</v>
      </c>
      <c r="F112" s="241">
        <v>1</v>
      </c>
      <c r="G112" s="238" t="s">
        <v>84</v>
      </c>
      <c r="H112" s="238" t="s">
        <v>203</v>
      </c>
      <c r="I112" s="238" t="s">
        <v>202</v>
      </c>
      <c r="J112" s="241">
        <v>1</v>
      </c>
      <c r="K112" s="301">
        <v>1</v>
      </c>
      <c r="L112" s="325" t="s">
        <v>201</v>
      </c>
      <c r="M112" s="245" t="s">
        <v>161</v>
      </c>
      <c r="N112" s="238" t="s">
        <v>200</v>
      </c>
      <c r="O112" s="56" t="s">
        <v>217</v>
      </c>
      <c r="P112" s="10">
        <v>1</v>
      </c>
      <c r="Q112" s="10">
        <v>1</v>
      </c>
      <c r="R112" s="46">
        <v>1</v>
      </c>
      <c r="S112" s="114">
        <f t="shared" si="1"/>
        <v>1</v>
      </c>
      <c r="T112" s="238" t="s">
        <v>348</v>
      </c>
      <c r="U112" s="245" t="s">
        <v>349</v>
      </c>
      <c r="V112" s="232">
        <f>66000000+231000000+305500000+60000000+27586193</f>
        <v>690086193</v>
      </c>
      <c r="W112" s="232">
        <f>65700000+231000000+246616666+6978850</f>
        <v>550295516</v>
      </c>
      <c r="X112" s="229">
        <f>W112/V112</f>
        <v>0.79743012044294</v>
      </c>
      <c r="Y112" s="97" t="s">
        <v>374</v>
      </c>
      <c r="Z112" s="97" t="s">
        <v>393</v>
      </c>
      <c r="AA112" s="135" t="str">
        <f>'[1]PLAN DE ACCION'!AA112</f>
        <v>En el SIG se han recibido 2761 solicitudes, a las cuales se les dio el trámite respectivo.  - El reporte reposa en el archivo excel de control de solicitudes en el drive del correo publicacioncartografica@armenia.gov.co .</v>
      </c>
      <c r="AB112" s="253" t="s">
        <v>101</v>
      </c>
    </row>
    <row r="113" spans="1:28" s="1" customFormat="1" ht="78" customHeight="1">
      <c r="A113" s="324"/>
      <c r="B113" s="273"/>
      <c r="C113" s="239"/>
      <c r="D113" s="239"/>
      <c r="E113" s="242"/>
      <c r="F113" s="242"/>
      <c r="G113" s="239"/>
      <c r="H113" s="239"/>
      <c r="I113" s="239"/>
      <c r="J113" s="242"/>
      <c r="K113" s="302"/>
      <c r="L113" s="326"/>
      <c r="M113" s="246"/>
      <c r="N113" s="239"/>
      <c r="O113" s="56" t="s">
        <v>247</v>
      </c>
      <c r="P113" s="9">
        <v>200</v>
      </c>
      <c r="Q113" s="9">
        <v>2000</v>
      </c>
      <c r="R113" s="132">
        <v>2000</v>
      </c>
      <c r="S113" s="114">
        <f t="shared" si="1"/>
        <v>1</v>
      </c>
      <c r="T113" s="239"/>
      <c r="U113" s="246"/>
      <c r="V113" s="233"/>
      <c r="W113" s="233"/>
      <c r="X113" s="230"/>
      <c r="Y113" s="97" t="s">
        <v>398</v>
      </c>
      <c r="Z113" s="97" t="s">
        <v>393</v>
      </c>
      <c r="AA113" s="138" t="str">
        <f>'[1]PLAN DE ACCION'!AA113</f>
        <v>A 30 de septiembre se han realizado 17,782, superando la meta programada para la vigencia 2021, pues con la implmentación SisbenApp y la metodología sisben IV ha permitido agilizar el proceso por su automatización. (Soporte informe en archivo Word y Excel).</v>
      </c>
      <c r="AB113" s="254"/>
    </row>
    <row r="114" spans="1:28" s="1" customFormat="1" ht="78" customHeight="1">
      <c r="A114" s="324"/>
      <c r="B114" s="273"/>
      <c r="C114" s="239"/>
      <c r="D114" s="239"/>
      <c r="E114" s="242"/>
      <c r="F114" s="242"/>
      <c r="G114" s="239"/>
      <c r="H114" s="239"/>
      <c r="I114" s="239"/>
      <c r="J114" s="242"/>
      <c r="K114" s="302"/>
      <c r="L114" s="326"/>
      <c r="M114" s="246"/>
      <c r="N114" s="239"/>
      <c r="O114" s="43" t="s">
        <v>248</v>
      </c>
      <c r="P114" s="11">
        <v>1</v>
      </c>
      <c r="Q114" s="11">
        <v>1</v>
      </c>
      <c r="R114" s="46">
        <v>1</v>
      </c>
      <c r="S114" s="114">
        <f t="shared" si="1"/>
        <v>1</v>
      </c>
      <c r="T114" s="239"/>
      <c r="U114" s="246"/>
      <c r="V114" s="233"/>
      <c r="W114" s="233"/>
      <c r="X114" s="230"/>
      <c r="Y114" s="97" t="s">
        <v>399</v>
      </c>
      <c r="Z114" s="97" t="s">
        <v>400</v>
      </c>
      <c r="AA114" s="138" t="str">
        <f>'[1]PLAN DE ACCION'!AA114</f>
        <v>Con la implementacion del aplicativo SisbenApp  nos ha permitido atender oportunamente todas las modificaciones de fichas solicitadas.</v>
      </c>
      <c r="AB114" s="254"/>
    </row>
    <row r="115" spans="1:28" s="1" customFormat="1" ht="78" customHeight="1">
      <c r="A115" s="324"/>
      <c r="B115" s="273"/>
      <c r="C115" s="239"/>
      <c r="D115" s="239"/>
      <c r="E115" s="242"/>
      <c r="F115" s="242"/>
      <c r="G115" s="239"/>
      <c r="H115" s="239"/>
      <c r="I115" s="239"/>
      <c r="J115" s="242"/>
      <c r="K115" s="302"/>
      <c r="L115" s="326"/>
      <c r="M115" s="246"/>
      <c r="N115" s="239"/>
      <c r="O115" s="43" t="s">
        <v>249</v>
      </c>
      <c r="P115" s="9">
        <v>12</v>
      </c>
      <c r="Q115" s="9">
        <v>12</v>
      </c>
      <c r="R115" s="132">
        <v>9</v>
      </c>
      <c r="S115" s="114">
        <f t="shared" si="1"/>
        <v>0.75</v>
      </c>
      <c r="T115" s="239"/>
      <c r="U115" s="246"/>
      <c r="V115" s="233"/>
      <c r="W115" s="233"/>
      <c r="X115" s="230"/>
      <c r="Y115" s="97" t="s">
        <v>399</v>
      </c>
      <c r="Z115" s="97" t="s">
        <v>400</v>
      </c>
      <c r="AA115" s="138" t="str">
        <f>'[1]PLAN DE ACCION'!AA115</f>
        <v>Se ha cumplido con la presentación de tres informes de manera mensualizada, correspondiente a los meses de enero,febrero, marzo, abril, mayo y junio,julio,agosto y septiembre, contentivo de la totalidad de novedades y actividades desarrolladas en Sisben. </v>
      </c>
      <c r="AB115" s="254"/>
    </row>
    <row r="116" spans="1:28" s="1" customFormat="1" ht="89.25" customHeight="1">
      <c r="A116" s="324"/>
      <c r="B116" s="273"/>
      <c r="C116" s="239"/>
      <c r="D116" s="239"/>
      <c r="E116" s="242"/>
      <c r="F116" s="242"/>
      <c r="G116" s="239"/>
      <c r="H116" s="239"/>
      <c r="I116" s="239"/>
      <c r="J116" s="242"/>
      <c r="K116" s="302"/>
      <c r="L116" s="326"/>
      <c r="M116" s="246"/>
      <c r="N116" s="239"/>
      <c r="O116" s="45" t="s">
        <v>300</v>
      </c>
      <c r="P116" s="11">
        <v>1</v>
      </c>
      <c r="Q116" s="11">
        <v>1</v>
      </c>
      <c r="R116" s="46">
        <v>1</v>
      </c>
      <c r="S116" s="114">
        <f t="shared" si="1"/>
        <v>1</v>
      </c>
      <c r="T116" s="239"/>
      <c r="U116" s="246"/>
      <c r="V116" s="233"/>
      <c r="W116" s="233"/>
      <c r="X116" s="230"/>
      <c r="Y116" s="97" t="s">
        <v>401</v>
      </c>
      <c r="Z116" s="97" t="s">
        <v>393</v>
      </c>
      <c r="AA116" s="138" t="str">
        <f>'[1]PLAN DE ACCION'!AA116</f>
        <v>Solo se ha requerido por parte de la Secretaría Muncipal de Salud Base de Datos  mediante  comunicación SS-PSS-SS-313 del 21/06/2021. Dandose respuesta y suministrando la BD en DP-POT-5048 del 25/06/2021 </v>
      </c>
      <c r="AB116" s="254"/>
    </row>
    <row r="117" spans="1:28" s="1" customFormat="1" ht="78" customHeight="1">
      <c r="A117" s="324"/>
      <c r="B117" s="273"/>
      <c r="C117" s="239"/>
      <c r="D117" s="239"/>
      <c r="E117" s="242"/>
      <c r="F117" s="242"/>
      <c r="G117" s="239"/>
      <c r="H117" s="239"/>
      <c r="I117" s="239"/>
      <c r="J117" s="242"/>
      <c r="K117" s="302"/>
      <c r="L117" s="326"/>
      <c r="M117" s="246"/>
      <c r="N117" s="239"/>
      <c r="O117" s="43" t="s">
        <v>250</v>
      </c>
      <c r="P117" s="11">
        <v>1</v>
      </c>
      <c r="Q117" s="11">
        <v>1</v>
      </c>
      <c r="R117" s="46">
        <v>1</v>
      </c>
      <c r="S117" s="114">
        <f t="shared" si="1"/>
        <v>1</v>
      </c>
      <c r="T117" s="239"/>
      <c r="U117" s="246"/>
      <c r="V117" s="233"/>
      <c r="W117" s="233"/>
      <c r="X117" s="230"/>
      <c r="Y117" s="97" t="s">
        <v>402</v>
      </c>
      <c r="Z117" s="97" t="s">
        <v>393</v>
      </c>
      <c r="AA117" s="138" t="str">
        <f>'[1]PLAN DE ACCION'!AA117</f>
        <v>Se ha llevado a cabo continuamente a traves del Aplicativo SisbenApp, con una periodicidad mínimo cada 2 maximo cada 3 días, es decir en un promedio de 25 actualizaciones mensuales, lo cual se puede evidenciar en los listados de envios y las copias de seguridad generadas en el sistema</v>
      </c>
      <c r="AB117" s="254"/>
    </row>
    <row r="118" spans="1:28" s="1" customFormat="1" ht="68.25" customHeight="1">
      <c r="A118" s="324"/>
      <c r="B118" s="273"/>
      <c r="C118" s="239"/>
      <c r="D118" s="239"/>
      <c r="E118" s="242"/>
      <c r="F118" s="242"/>
      <c r="G118" s="239"/>
      <c r="H118" s="239"/>
      <c r="I118" s="239"/>
      <c r="J118" s="242"/>
      <c r="K118" s="302"/>
      <c r="L118" s="326"/>
      <c r="M118" s="246"/>
      <c r="N118" s="239"/>
      <c r="O118" s="43" t="s">
        <v>251</v>
      </c>
      <c r="P118" s="11">
        <v>1</v>
      </c>
      <c r="Q118" s="11">
        <v>1</v>
      </c>
      <c r="R118" s="46">
        <v>1</v>
      </c>
      <c r="S118" s="114">
        <f t="shared" si="1"/>
        <v>1</v>
      </c>
      <c r="T118" s="239"/>
      <c r="U118" s="246"/>
      <c r="V118" s="233"/>
      <c r="W118" s="233"/>
      <c r="X118" s="230"/>
      <c r="Y118" s="97" t="s">
        <v>403</v>
      </c>
      <c r="Z118" s="97" t="s">
        <v>380</v>
      </c>
      <c r="AA118" s="144" t="str">
        <f>'[1]PLAN DE ACCION'!AA118</f>
        <v>Se han efectuado 78 visitas a predios habitacionales del Municipio de Armenia </v>
      </c>
      <c r="AB118" s="254"/>
    </row>
    <row r="119" spans="1:28" s="1" customFormat="1" ht="93" customHeight="1">
      <c r="A119" s="324"/>
      <c r="B119" s="273"/>
      <c r="C119" s="239"/>
      <c r="D119" s="239"/>
      <c r="E119" s="242"/>
      <c r="F119" s="242"/>
      <c r="G119" s="239"/>
      <c r="H119" s="239"/>
      <c r="I119" s="239"/>
      <c r="J119" s="242"/>
      <c r="K119" s="302"/>
      <c r="L119" s="326"/>
      <c r="M119" s="246"/>
      <c r="N119" s="239"/>
      <c r="O119" s="56" t="s">
        <v>252</v>
      </c>
      <c r="P119" s="11">
        <v>1</v>
      </c>
      <c r="Q119" s="11">
        <v>1</v>
      </c>
      <c r="R119" s="46">
        <v>1</v>
      </c>
      <c r="S119" s="114">
        <f t="shared" si="1"/>
        <v>1</v>
      </c>
      <c r="T119" s="239"/>
      <c r="U119" s="246"/>
      <c r="V119" s="233"/>
      <c r="W119" s="233"/>
      <c r="X119" s="230"/>
      <c r="Y119" s="97" t="s">
        <v>403</v>
      </c>
      <c r="Z119" s="97" t="s">
        <v>380</v>
      </c>
      <c r="AA119" s="144" t="str">
        <f>'[1]PLAN DE ACCION'!AA119</f>
        <v>Se han proyectaron (35) resoluciones de asignación de estrato socioeconomico a predios habitacionales del municipio de Armenia </v>
      </c>
      <c r="AB119" s="254"/>
    </row>
    <row r="120" spans="1:28" s="1" customFormat="1" ht="78" customHeight="1">
      <c r="A120" s="324"/>
      <c r="B120" s="273"/>
      <c r="C120" s="239"/>
      <c r="D120" s="239"/>
      <c r="E120" s="242"/>
      <c r="F120" s="242"/>
      <c r="G120" s="239"/>
      <c r="H120" s="239"/>
      <c r="I120" s="239"/>
      <c r="J120" s="242"/>
      <c r="K120" s="302"/>
      <c r="L120" s="326"/>
      <c r="M120" s="246"/>
      <c r="N120" s="239"/>
      <c r="O120" s="56" t="s">
        <v>253</v>
      </c>
      <c r="P120" s="11">
        <v>1</v>
      </c>
      <c r="Q120" s="11">
        <v>1</v>
      </c>
      <c r="R120" s="46">
        <v>0.2</v>
      </c>
      <c r="S120" s="114">
        <f t="shared" si="1"/>
        <v>0.2</v>
      </c>
      <c r="T120" s="239"/>
      <c r="U120" s="246"/>
      <c r="V120" s="233"/>
      <c r="W120" s="233"/>
      <c r="X120" s="230"/>
      <c r="Y120" s="97" t="s">
        <v>403</v>
      </c>
      <c r="Z120" s="97" t="s">
        <v>380</v>
      </c>
      <c r="AA120" s="144" t="str">
        <f>'[1]PLAN DE ACCION'!AA120</f>
        <v>En la actualidad el Municipio se encuentra en el estado de segunda etapa a esperas de las observaciones emitidas por el DANE (Según informe presentado por la contratista). </v>
      </c>
      <c r="AB120" s="254"/>
    </row>
    <row r="121" spans="1:28" s="1" customFormat="1" ht="78" customHeight="1">
      <c r="A121" s="324"/>
      <c r="B121" s="273"/>
      <c r="C121" s="239"/>
      <c r="D121" s="239"/>
      <c r="E121" s="242"/>
      <c r="F121" s="242"/>
      <c r="G121" s="239"/>
      <c r="H121" s="239"/>
      <c r="I121" s="239"/>
      <c r="J121" s="242"/>
      <c r="K121" s="302"/>
      <c r="L121" s="326"/>
      <c r="M121" s="246"/>
      <c r="N121" s="239"/>
      <c r="O121" s="56" t="s">
        <v>254</v>
      </c>
      <c r="P121" s="11">
        <v>1</v>
      </c>
      <c r="Q121" s="11">
        <v>1</v>
      </c>
      <c r="R121" s="46">
        <v>1</v>
      </c>
      <c r="S121" s="114">
        <f t="shared" si="1"/>
        <v>1</v>
      </c>
      <c r="T121" s="239"/>
      <c r="U121" s="246"/>
      <c r="V121" s="233"/>
      <c r="W121" s="233"/>
      <c r="X121" s="230"/>
      <c r="Y121" s="97" t="s">
        <v>403</v>
      </c>
      <c r="Z121" s="97" t="s">
        <v>380</v>
      </c>
      <c r="AA121" s="144" t="str">
        <f>'[1]PLAN DE ACCION'!AA121</f>
        <v>Se han efectuado 78 visitas a predios habitacionales del Municipio, allí se divulgó acerca de proyecto de actualización en la metodologia de estratificación socioeconomica</v>
      </c>
      <c r="AB121" s="254"/>
    </row>
    <row r="122" spans="1:28" s="1" customFormat="1" ht="70.5" customHeight="1">
      <c r="A122" s="324"/>
      <c r="B122" s="273"/>
      <c r="C122" s="239"/>
      <c r="D122" s="239"/>
      <c r="E122" s="242"/>
      <c r="F122" s="242"/>
      <c r="G122" s="239"/>
      <c r="H122" s="239"/>
      <c r="I122" s="239"/>
      <c r="J122" s="242"/>
      <c r="K122" s="302"/>
      <c r="L122" s="326"/>
      <c r="M122" s="246"/>
      <c r="N122" s="239"/>
      <c r="O122" s="56" t="s">
        <v>255</v>
      </c>
      <c r="P122" s="11">
        <v>1</v>
      </c>
      <c r="Q122" s="11">
        <v>1</v>
      </c>
      <c r="R122" s="46">
        <v>1</v>
      </c>
      <c r="S122" s="114">
        <f t="shared" si="1"/>
        <v>1</v>
      </c>
      <c r="T122" s="239"/>
      <c r="U122" s="246"/>
      <c r="V122" s="233"/>
      <c r="W122" s="233"/>
      <c r="X122" s="230"/>
      <c r="Y122" s="97" t="s">
        <v>403</v>
      </c>
      <c r="Z122" s="97" t="s">
        <v>393</v>
      </c>
      <c r="AA122" s="144" t="str">
        <f>'[1]PLAN DE ACCION'!AA122</f>
        <v>Se han expidido 246 certificados de estratificación socioeconómica</v>
      </c>
      <c r="AB122" s="254"/>
    </row>
    <row r="123" spans="1:28" s="1" customFormat="1" ht="76.5" customHeight="1">
      <c r="A123" s="324"/>
      <c r="B123" s="273"/>
      <c r="C123" s="239"/>
      <c r="D123" s="239"/>
      <c r="E123" s="242"/>
      <c r="F123" s="242"/>
      <c r="G123" s="239"/>
      <c r="H123" s="239"/>
      <c r="I123" s="239"/>
      <c r="J123" s="242"/>
      <c r="K123" s="302"/>
      <c r="L123" s="326"/>
      <c r="M123" s="246"/>
      <c r="N123" s="239"/>
      <c r="O123" s="56" t="s">
        <v>256</v>
      </c>
      <c r="P123" s="11">
        <v>1</v>
      </c>
      <c r="Q123" s="11">
        <v>1</v>
      </c>
      <c r="R123" s="46">
        <v>1</v>
      </c>
      <c r="S123" s="114">
        <f t="shared" si="1"/>
        <v>1</v>
      </c>
      <c r="T123" s="239"/>
      <c r="U123" s="246"/>
      <c r="V123" s="233"/>
      <c r="W123" s="233"/>
      <c r="X123" s="230"/>
      <c r="Y123" s="97" t="s">
        <v>374</v>
      </c>
      <c r="Z123" s="97" t="s">
        <v>371</v>
      </c>
      <c r="AA123" s="144" t="str">
        <f>'[1]PLAN DE ACCION'!AA123</f>
        <v>Se efectuó el ajuste y la actualización de la base de datos de los predios habitacionales del Municipio, organizados y clasificados en siete sectores para facilitar su consulta, control y respuesta oportuna, (total 123.406 predios)</v>
      </c>
      <c r="AB123" s="254"/>
    </row>
    <row r="124" spans="1:28" s="47" customFormat="1" ht="105" customHeight="1">
      <c r="A124" s="324"/>
      <c r="B124" s="273"/>
      <c r="C124" s="239"/>
      <c r="D124" s="239"/>
      <c r="E124" s="242"/>
      <c r="F124" s="242"/>
      <c r="G124" s="239"/>
      <c r="H124" s="239"/>
      <c r="I124" s="239"/>
      <c r="J124" s="242"/>
      <c r="K124" s="302"/>
      <c r="L124" s="326"/>
      <c r="M124" s="246"/>
      <c r="N124" s="239"/>
      <c r="O124" s="57" t="s">
        <v>257</v>
      </c>
      <c r="P124" s="46">
        <v>1</v>
      </c>
      <c r="Q124" s="46">
        <v>1</v>
      </c>
      <c r="R124" s="46">
        <v>1</v>
      </c>
      <c r="S124" s="114">
        <f t="shared" si="1"/>
        <v>1</v>
      </c>
      <c r="T124" s="239"/>
      <c r="U124" s="246"/>
      <c r="V124" s="233"/>
      <c r="W124" s="233"/>
      <c r="X124" s="230"/>
      <c r="Y124" s="97" t="s">
        <v>374</v>
      </c>
      <c r="Z124" s="97" t="s">
        <v>393</v>
      </c>
      <c r="AA124" s="144" t="str">
        <f>'[1]PLAN DE ACCION'!AA124</f>
        <v>Se apoyó en temas logisticos y administrativos al CPE en sesión desarrollada el 8 de marzo de 2021, acompañamiento a 58 visitas por reclamaciones, se gestionó el pago de honorarios a integrantes representantes de la comunidad para la vigencia 2.021, se apoyo el proceso de elecciones a representantes de la comunidad para el periodo 2021-2023 </v>
      </c>
      <c r="AB124" s="254"/>
    </row>
    <row r="125" spans="1:28" s="47" customFormat="1" ht="105" customHeight="1">
      <c r="A125" s="324"/>
      <c r="B125" s="58"/>
      <c r="C125" s="59"/>
      <c r="D125" s="59"/>
      <c r="E125" s="60"/>
      <c r="F125" s="60"/>
      <c r="G125" s="59"/>
      <c r="H125" s="59"/>
      <c r="I125" s="59"/>
      <c r="J125" s="60"/>
      <c r="K125" s="61"/>
      <c r="L125" s="326"/>
      <c r="M125" s="246"/>
      <c r="N125" s="239"/>
      <c r="O125" s="62" t="s">
        <v>301</v>
      </c>
      <c r="P125" s="33">
        <v>0</v>
      </c>
      <c r="Q125" s="10">
        <v>1</v>
      </c>
      <c r="R125" s="46">
        <v>0.7</v>
      </c>
      <c r="S125" s="114">
        <f t="shared" si="1"/>
        <v>0.7</v>
      </c>
      <c r="T125" s="239"/>
      <c r="U125" s="246"/>
      <c r="V125" s="233"/>
      <c r="W125" s="233"/>
      <c r="X125" s="230"/>
      <c r="Y125" s="97" t="s">
        <v>374</v>
      </c>
      <c r="Z125" s="97" t="s">
        <v>393</v>
      </c>
      <c r="AA125" s="135" t="str">
        <f>'[1]PLAN DE ACCION'!AA125</f>
        <v>Se han recopilado bajo los lineamientos y requisitos del orden municipal, departamental y nacional de los siguientes proyectos
1. Construcción Tramo 1 y Tramo 3 del Malecón de la Secreta en el municipio de Armenia, Quindío (SGR)
2. Mejoramiento y rehabilitación de vías urbanas en el municipio de Armenia, Quindío (SGR)
3. Cocreación con el equipo de la oficina asesora del despacho del alcalde de la iniciatia denominada Parque El Bosque (Ministerio de Medio Ambiente)
4. Colaboración con la oficina asesora del despacho del alcalde del proyecto Sacúdete al Parque en el Barrio Centeneario (Ministerio del Interior)
5. Proyecto denominado "Intervenciones de transporte activo y prevención de viajes para el transporte sostenible en Armenia en el Eje Cafetero Colombiano" bajo los lineamientos del Fondo Verde del Clima del Departamento Nacional de Planeación.
6. Acompañamento con la oficina asesora de proyectos del alcalde en la formulación del proyecto "FORTALECIMIENTO DEL EMPLEO A TRAVÉS DE FACTORES DEL MERCADO LABORAL EN EL MUNICIPIO DE ARMENIA" con los lineamientos establecidos por el Sistema General de Regalías</v>
      </c>
      <c r="AB125" s="254"/>
    </row>
    <row r="126" spans="1:28" s="47" customFormat="1" ht="105" customHeight="1">
      <c r="A126" s="324"/>
      <c r="B126" s="58"/>
      <c r="C126" s="59"/>
      <c r="D126" s="59"/>
      <c r="E126" s="60"/>
      <c r="F126" s="60"/>
      <c r="G126" s="59"/>
      <c r="H126" s="59"/>
      <c r="I126" s="59"/>
      <c r="J126" s="60"/>
      <c r="K126" s="61"/>
      <c r="L126" s="327"/>
      <c r="M126" s="247"/>
      <c r="N126" s="240"/>
      <c r="O126" s="56" t="s">
        <v>302</v>
      </c>
      <c r="P126" s="33">
        <v>0</v>
      </c>
      <c r="Q126" s="10">
        <v>1</v>
      </c>
      <c r="R126" s="46">
        <v>1</v>
      </c>
      <c r="S126" s="114">
        <f t="shared" si="1"/>
        <v>1</v>
      </c>
      <c r="T126" s="240"/>
      <c r="U126" s="247"/>
      <c r="V126" s="234"/>
      <c r="W126" s="234"/>
      <c r="X126" s="231"/>
      <c r="Y126" s="97" t="s">
        <v>374</v>
      </c>
      <c r="Z126" s="97" t="s">
        <v>393</v>
      </c>
      <c r="AA126" s="135" t="str">
        <f>'[1]PLAN DE ACCION'!AA126</f>
        <v>Se formularon los siguientes proyectos bajo la metodología MGA en la cual se emplearon los lineamientos generales, metodológicos, técnicos sectoriales del Sistema General de Regalías.
1. Construcción Tramo 1 y Tramo 3 del Malecón de la Secreta en el municipio de Armenia, Quindío
2. Mejoramiento y rehabilitación de vías urbanas en el municipio de Armenia, Quindío</v>
      </c>
      <c r="AB126" s="255"/>
    </row>
    <row r="127" spans="1:28" s="1" customFormat="1" ht="51">
      <c r="A127" s="324"/>
      <c r="B127" s="272" t="s">
        <v>64</v>
      </c>
      <c r="C127" s="238">
        <v>11</v>
      </c>
      <c r="D127" s="238" t="s">
        <v>65</v>
      </c>
      <c r="E127" s="238">
        <v>0</v>
      </c>
      <c r="F127" s="241">
        <v>0.8</v>
      </c>
      <c r="G127" s="238" t="s">
        <v>66</v>
      </c>
      <c r="H127" s="238" t="s">
        <v>92</v>
      </c>
      <c r="I127" s="245" t="s">
        <v>93</v>
      </c>
      <c r="J127" s="241">
        <v>1</v>
      </c>
      <c r="K127" s="306">
        <v>1</v>
      </c>
      <c r="L127" s="251" t="s">
        <v>205</v>
      </c>
      <c r="M127" s="252" t="s">
        <v>116</v>
      </c>
      <c r="N127" s="252" t="s">
        <v>227</v>
      </c>
      <c r="O127" s="43" t="s">
        <v>155</v>
      </c>
      <c r="P127" s="8">
        <v>0</v>
      </c>
      <c r="Q127" s="8">
        <v>200</v>
      </c>
      <c r="R127" s="132">
        <v>109</v>
      </c>
      <c r="S127" s="114">
        <f t="shared" si="1"/>
        <v>0.545</v>
      </c>
      <c r="T127" s="252" t="s">
        <v>350</v>
      </c>
      <c r="U127" s="252" t="s">
        <v>341</v>
      </c>
      <c r="V127" s="227">
        <f>146400000+42550000</f>
        <v>188950000</v>
      </c>
      <c r="W127" s="227">
        <f>146400000+42550000</f>
        <v>188950000</v>
      </c>
      <c r="X127" s="226">
        <f>W127/V127</f>
        <v>1</v>
      </c>
      <c r="Y127" s="97" t="s">
        <v>374</v>
      </c>
      <c r="Z127" s="97" t="s">
        <v>393</v>
      </c>
      <c r="AA127" s="135" t="str">
        <f>'[1]PLAN DE ACCION'!AA127</f>
        <v>Se recibieron  y fueron remitidas por la Subdirección del DAPM a la Inspeccion Octava (48),  Inspección Control Urbano (61) Visitas Técnicas, y en el análisis se pudo observar la comisión de Infracciones Urbanisticas, procediendo a dar inicio al respectivo proceso.  Total:109.</v>
      </c>
      <c r="AB127" s="312" t="s">
        <v>131</v>
      </c>
    </row>
    <row r="128" spans="1:28" s="1" customFormat="1" ht="42.75">
      <c r="A128" s="324"/>
      <c r="B128" s="273"/>
      <c r="C128" s="239"/>
      <c r="D128" s="239"/>
      <c r="E128" s="239"/>
      <c r="F128" s="242"/>
      <c r="G128" s="239"/>
      <c r="H128" s="239"/>
      <c r="I128" s="246"/>
      <c r="J128" s="242"/>
      <c r="K128" s="307"/>
      <c r="L128" s="251"/>
      <c r="M128" s="252"/>
      <c r="N128" s="252"/>
      <c r="O128" s="43" t="s">
        <v>117</v>
      </c>
      <c r="P128" s="8">
        <v>0</v>
      </c>
      <c r="Q128" s="8">
        <v>200</v>
      </c>
      <c r="R128" s="132">
        <v>117</v>
      </c>
      <c r="S128" s="114">
        <f t="shared" si="1"/>
        <v>0.585</v>
      </c>
      <c r="T128" s="252"/>
      <c r="U128" s="252"/>
      <c r="V128" s="227"/>
      <c r="W128" s="227"/>
      <c r="X128" s="226"/>
      <c r="Y128" s="97" t="s">
        <v>374</v>
      </c>
      <c r="Z128" s="97" t="s">
        <v>393</v>
      </c>
      <c r="AA128" s="135" t="str">
        <f>'[1]PLAN DE ACCION'!AA128</f>
        <v>Se aperturaron 117 procesos, correspondientes a las visitas tecnicas que fueron analizadas por las Inspecciones (48-8va y C-69).</v>
      </c>
      <c r="AB128" s="312"/>
    </row>
    <row r="129" spans="1:28" s="1" customFormat="1" ht="102.75" customHeight="1">
      <c r="A129" s="324"/>
      <c r="B129" s="273"/>
      <c r="C129" s="239"/>
      <c r="D129" s="239"/>
      <c r="E129" s="239"/>
      <c r="F129" s="242"/>
      <c r="G129" s="239"/>
      <c r="H129" s="239"/>
      <c r="I129" s="246"/>
      <c r="J129" s="242"/>
      <c r="K129" s="307"/>
      <c r="L129" s="251"/>
      <c r="M129" s="252"/>
      <c r="N129" s="252"/>
      <c r="O129" s="43" t="s">
        <v>156</v>
      </c>
      <c r="P129" s="8">
        <v>0</v>
      </c>
      <c r="Q129" s="8">
        <v>200</v>
      </c>
      <c r="R129" s="132">
        <v>80</v>
      </c>
      <c r="S129" s="114">
        <f t="shared" si="1"/>
        <v>0.4</v>
      </c>
      <c r="T129" s="252"/>
      <c r="U129" s="252"/>
      <c r="V129" s="227"/>
      <c r="W129" s="227"/>
      <c r="X129" s="226"/>
      <c r="Y129" s="97" t="s">
        <v>374</v>
      </c>
      <c r="Z129" s="97" t="s">
        <v>404</v>
      </c>
      <c r="AA129" s="135" t="str">
        <f>'[1]PLAN DE ACCION'!AA129</f>
        <v>Se realizaron a los infractores las notificaciones del auto de investigación. (41-8a - C-39)= Total 80 -----(INSP.8VA- 38 INCLUYENDO LAS 26 -  008-2021, 181-2019, 019-2021,018-2021,025-2021,-379-2018,092-2019, 026-2021, 012-2021,015-2020,036-2020, 010-2020).  (INSP.CU.- Se notificaron los 5 autos de inicio. 1. auto de inicio No. 058 27-07-2021, 2. auto de inicio No. 059 23-07-2021, 3. auto de inicio 060 de 11-08-2021, 4 auto de inicio 061 y auto de inicio 061 B.</v>
      </c>
      <c r="AB129" s="312"/>
    </row>
    <row r="130" spans="1:28" s="1" customFormat="1" ht="75.75" customHeight="1">
      <c r="A130" s="324"/>
      <c r="B130" s="273"/>
      <c r="C130" s="239"/>
      <c r="D130" s="239"/>
      <c r="E130" s="239"/>
      <c r="F130" s="242"/>
      <c r="G130" s="239"/>
      <c r="H130" s="239"/>
      <c r="I130" s="246"/>
      <c r="J130" s="242"/>
      <c r="K130" s="307"/>
      <c r="L130" s="251"/>
      <c r="M130" s="252"/>
      <c r="N130" s="252"/>
      <c r="O130" s="43" t="s">
        <v>157</v>
      </c>
      <c r="P130" s="8">
        <v>0</v>
      </c>
      <c r="Q130" s="8">
        <v>100</v>
      </c>
      <c r="R130" s="132">
        <v>65</v>
      </c>
      <c r="S130" s="114">
        <f t="shared" si="1"/>
        <v>0.65</v>
      </c>
      <c r="T130" s="252"/>
      <c r="U130" s="252"/>
      <c r="V130" s="227"/>
      <c r="W130" s="227"/>
      <c r="X130" s="226"/>
      <c r="Y130" s="97" t="s">
        <v>374</v>
      </c>
      <c r="Z130" s="97" t="s">
        <v>404</v>
      </c>
      <c r="AA130" s="135" t="str">
        <f>'[1]PLAN DE ACCION'!AA130</f>
        <v>De los procesos aperturados se recibieron en audiencia pública en las Inspecciones, descargos en 31 procesos. (INSP.8VA -012-2021, 020-2020, 013-2020, 010-2020, 047-2020, 019-2021, 008-2021,025-2021, 032-2021,033-2021,034-2021, 036-2021, 037-2021, 289-2018, 038-2021,039-2021,040-2021,041-2021,042-2021, 043-2021,044-2021,018-2021,006-2021,048-2021,049-2021,181-2019). (INSP.C.U-Se realizaron 8 audiencias de descargos dentro de los siguietnes procesos: 430 de 2017, 046 de 2021, 047 de 2021, 053 de 2021, 055 de 2021, 056 de 2021, 058 de 2021, 061B de 2021</v>
      </c>
      <c r="AB130" s="312"/>
    </row>
    <row r="131" spans="1:28" s="1" customFormat="1" ht="81.75" customHeight="1">
      <c r="A131" s="324"/>
      <c r="B131" s="273"/>
      <c r="C131" s="239"/>
      <c r="D131" s="239"/>
      <c r="E131" s="239"/>
      <c r="F131" s="242"/>
      <c r="G131" s="239"/>
      <c r="H131" s="239"/>
      <c r="I131" s="246"/>
      <c r="J131" s="242"/>
      <c r="K131" s="307"/>
      <c r="L131" s="251"/>
      <c r="M131" s="252"/>
      <c r="N131" s="252"/>
      <c r="O131" s="43" t="s">
        <v>158</v>
      </c>
      <c r="P131" s="8">
        <v>0</v>
      </c>
      <c r="Q131" s="8">
        <v>100</v>
      </c>
      <c r="R131" s="132">
        <v>76</v>
      </c>
      <c r="S131" s="114">
        <f t="shared" si="1"/>
        <v>0.76</v>
      </c>
      <c r="T131" s="252"/>
      <c r="U131" s="252"/>
      <c r="V131" s="227"/>
      <c r="W131" s="227"/>
      <c r="X131" s="226"/>
      <c r="Y131" s="97" t="s">
        <v>374</v>
      </c>
      <c r="Z131" s="97" t="s">
        <v>404</v>
      </c>
      <c r="AA131" s="135" t="str">
        <f>'[1]PLAN DE ACCION'!AA131</f>
        <v>De conformidad con la normatividad vigente, se encuentran en terminos para solicitar pruebas de acuerdo a la Ley 1801/2016.  y a la fecha se han emitido por parte de la Inspección de Control Urbano 76 actos administrativos ordenando la practica de pruebas. (INSP.8VA- 079-2015,047-2020,020-2020,013-2020,23-2021,625-2018,379-2018,023-2021,282-2019,001-2020,005-2020,008-2020,009-2020). (INSP.C.U-Se decretaron 10 solicitudes de prueba dentro de los siguientes procesos: 228 de 2017, 417 de 2017, 354 de 2017, 059 de 2021, 053 de 2021, 061B de 2021, 541 de 2018, 055 de 2021, 047 de 2021, 047 de 2021, 046 de 2021.</v>
      </c>
      <c r="AB131" s="312"/>
    </row>
    <row r="132" spans="1:28" s="1" customFormat="1" ht="42.75">
      <c r="A132" s="324"/>
      <c r="B132" s="273"/>
      <c r="C132" s="239"/>
      <c r="D132" s="239"/>
      <c r="E132" s="239"/>
      <c r="F132" s="242"/>
      <c r="G132" s="239"/>
      <c r="H132" s="239"/>
      <c r="I132" s="246"/>
      <c r="J132" s="242"/>
      <c r="K132" s="307"/>
      <c r="L132" s="251"/>
      <c r="M132" s="252"/>
      <c r="N132" s="252"/>
      <c r="O132" s="43" t="s">
        <v>118</v>
      </c>
      <c r="P132" s="8">
        <v>0</v>
      </c>
      <c r="Q132" s="8">
        <v>20</v>
      </c>
      <c r="R132" s="132">
        <v>20</v>
      </c>
      <c r="S132" s="114">
        <f t="shared" si="1"/>
        <v>1</v>
      </c>
      <c r="T132" s="252"/>
      <c r="U132" s="252"/>
      <c r="V132" s="227"/>
      <c r="W132" s="227"/>
      <c r="X132" s="226"/>
      <c r="Y132" s="97" t="s">
        <v>374</v>
      </c>
      <c r="Z132" s="97" t="s">
        <v>404</v>
      </c>
      <c r="AA132" s="135" t="str">
        <f>'[1]PLAN DE ACCION'!AA132</f>
        <v>En las Inspecciónes se profirieron 51 resoluciones en los procesos. (INSP.8VA- 4: Sanciones 181-2019, Archivo 026-2021,092-2019,379-2018). (INSP.C.U- 47 resoluciones desde la resolución 64 a 106.                                                                   </v>
      </c>
      <c r="AB132" s="312"/>
    </row>
    <row r="133" spans="1:28" s="1" customFormat="1" ht="59.25" customHeight="1">
      <c r="A133" s="324"/>
      <c r="B133" s="273"/>
      <c r="C133" s="239"/>
      <c r="D133" s="239"/>
      <c r="E133" s="239"/>
      <c r="F133" s="242"/>
      <c r="G133" s="239"/>
      <c r="H133" s="239"/>
      <c r="I133" s="246"/>
      <c r="J133" s="242"/>
      <c r="K133" s="307"/>
      <c r="L133" s="251"/>
      <c r="M133" s="252"/>
      <c r="N133" s="252"/>
      <c r="O133" s="43" t="s">
        <v>159</v>
      </c>
      <c r="P133" s="8">
        <v>0</v>
      </c>
      <c r="Q133" s="8">
        <v>200</v>
      </c>
      <c r="R133" s="132">
        <v>15</v>
      </c>
      <c r="S133" s="114">
        <f t="shared" si="1"/>
        <v>0.075</v>
      </c>
      <c r="T133" s="252"/>
      <c r="U133" s="252"/>
      <c r="V133" s="227"/>
      <c r="W133" s="227"/>
      <c r="X133" s="226"/>
      <c r="Y133" s="97" t="s">
        <v>374</v>
      </c>
      <c r="Z133" s="97" t="s">
        <v>393</v>
      </c>
      <c r="AA133" s="135" t="str">
        <f>'[1]PLAN DE ACCION'!AA133</f>
        <v>Se realizaron a los procesos aperturados, las notificaciones del auto de investigación. </v>
      </c>
      <c r="AB133" s="312"/>
    </row>
    <row r="134" spans="1:28" s="1" customFormat="1" ht="57">
      <c r="A134" s="324"/>
      <c r="B134" s="273"/>
      <c r="C134" s="239"/>
      <c r="D134" s="239"/>
      <c r="E134" s="239"/>
      <c r="F134" s="242"/>
      <c r="G134" s="239"/>
      <c r="H134" s="239"/>
      <c r="I134" s="246"/>
      <c r="J134" s="242"/>
      <c r="K134" s="307"/>
      <c r="L134" s="251"/>
      <c r="M134" s="252"/>
      <c r="N134" s="252"/>
      <c r="O134" s="43" t="s">
        <v>160</v>
      </c>
      <c r="P134" s="8">
        <v>0</v>
      </c>
      <c r="Q134" s="8">
        <v>20</v>
      </c>
      <c r="R134" s="132">
        <v>11</v>
      </c>
      <c r="S134" s="114">
        <f t="shared" si="1"/>
        <v>0.55</v>
      </c>
      <c r="T134" s="252"/>
      <c r="U134" s="252"/>
      <c r="V134" s="227"/>
      <c r="W134" s="227"/>
      <c r="X134" s="226"/>
      <c r="Y134" s="97" t="s">
        <v>374</v>
      </c>
      <c r="Z134" s="97" t="s">
        <v>393</v>
      </c>
      <c r="AA134" s="135" t="str">
        <f>'[1]PLAN DE ACCION'!AA134</f>
        <v>Se remitieron desde la Inspección de Control Urbano 11 resoluciones. (INSP.C.U.-se remitieron 2 resoluciones sanción a la secretaria de infraestructura, las numeros 059 y 069 de 2021 y 2 resoluciones sanción a la secretaria de Hacienda, las 059 y 069 de 2021.</v>
      </c>
      <c r="AB134" s="312"/>
    </row>
    <row r="135" spans="1:28" s="1" customFormat="1" ht="57">
      <c r="A135" s="324"/>
      <c r="B135" s="305"/>
      <c r="C135" s="240"/>
      <c r="D135" s="240"/>
      <c r="E135" s="240"/>
      <c r="F135" s="243"/>
      <c r="G135" s="240"/>
      <c r="H135" s="240"/>
      <c r="I135" s="247"/>
      <c r="J135" s="243"/>
      <c r="K135" s="308"/>
      <c r="L135" s="251"/>
      <c r="M135" s="252"/>
      <c r="N135" s="252"/>
      <c r="O135" s="43" t="s">
        <v>121</v>
      </c>
      <c r="P135" s="10">
        <v>0</v>
      </c>
      <c r="Q135" s="10">
        <v>1</v>
      </c>
      <c r="R135" s="46">
        <v>0.5</v>
      </c>
      <c r="S135" s="114">
        <f t="shared" si="1"/>
        <v>0.5</v>
      </c>
      <c r="T135" s="252"/>
      <c r="U135" s="252"/>
      <c r="V135" s="227"/>
      <c r="W135" s="227"/>
      <c r="X135" s="226"/>
      <c r="Y135" s="97" t="s">
        <v>374</v>
      </c>
      <c r="Z135" s="97" t="s">
        <v>393</v>
      </c>
      <c r="AA135" s="135" t="str">
        <f>'[1]PLAN DE ACCION'!AA135</f>
        <v>Se ha realizado la entrega  del archivo, cumpliendo los parametros que se requieren en los procesos llevados por las Inspecciónes</v>
      </c>
      <c r="AB135" s="312"/>
    </row>
    <row r="136" spans="1:28" s="1" customFormat="1" ht="102.75" thickBot="1">
      <c r="A136" s="324"/>
      <c r="B136" s="98" t="s">
        <v>94</v>
      </c>
      <c r="C136" s="99" t="s">
        <v>95</v>
      </c>
      <c r="D136" s="100" t="s">
        <v>96</v>
      </c>
      <c r="E136" s="68" t="s">
        <v>41</v>
      </c>
      <c r="F136" s="69">
        <v>0.3</v>
      </c>
      <c r="G136" s="101" t="s">
        <v>97</v>
      </c>
      <c r="H136" s="102" t="s">
        <v>98</v>
      </c>
      <c r="I136" s="103" t="s">
        <v>99</v>
      </c>
      <c r="J136" s="104">
        <v>0</v>
      </c>
      <c r="K136" s="105">
        <v>1</v>
      </c>
      <c r="L136" s="70" t="s">
        <v>207</v>
      </c>
      <c r="M136" s="64" t="s">
        <v>208</v>
      </c>
      <c r="N136" s="64" t="s">
        <v>206</v>
      </c>
      <c r="O136" s="106" t="s">
        <v>258</v>
      </c>
      <c r="P136" s="66">
        <v>0</v>
      </c>
      <c r="Q136" s="66">
        <v>0.1</v>
      </c>
      <c r="R136" s="150">
        <v>0.055</v>
      </c>
      <c r="S136" s="114">
        <f t="shared" si="1"/>
        <v>0.5499999999999999</v>
      </c>
      <c r="T136" s="64" t="s">
        <v>351</v>
      </c>
      <c r="U136" s="64" t="s">
        <v>352</v>
      </c>
      <c r="V136" s="96">
        <f>30000000+20700000</f>
        <v>50700000</v>
      </c>
      <c r="W136" s="96">
        <f>30000000+19050000</f>
        <v>49050000</v>
      </c>
      <c r="X136" s="119">
        <f>W136/V136</f>
        <v>0.9674556213017751</v>
      </c>
      <c r="Y136" s="131" t="s">
        <v>374</v>
      </c>
      <c r="Z136" s="131" t="s">
        <v>383</v>
      </c>
      <c r="AA136" s="145" t="str">
        <f>'[1]PLAN DE ACCION'!AA136</f>
        <v>Se realizó  reunion del Comité Técnico que orientará la Formulación de la Politica Pública, donde se trataron las directrices prioritarias en la cual se soportaran los lineamientos de Política Pública. El 16-09-2021 se efectuó presentación con el ingeniero Jorge Luis Lopez en la cual se intercambio información correspondiente al estado actual de los asentamientos de la ciudada de Armenia, así como el análisis de las Leyes, Decretos e insumos que orientan juridicamente la trazabilidad de los asentamientos informales.</v>
      </c>
      <c r="AB136" s="71" t="s">
        <v>100</v>
      </c>
    </row>
    <row r="137" spans="1:30" ht="28.5" customHeight="1" thickBot="1">
      <c r="A137" s="107" t="s">
        <v>12</v>
      </c>
      <c r="B137" s="108"/>
      <c r="C137" s="108"/>
      <c r="D137" s="108"/>
      <c r="E137" s="108"/>
      <c r="F137" s="108"/>
      <c r="G137" s="108"/>
      <c r="H137" s="108"/>
      <c r="I137" s="108"/>
      <c r="J137" s="108"/>
      <c r="K137" s="108"/>
      <c r="L137" s="108"/>
      <c r="M137" s="108"/>
      <c r="N137" s="108"/>
      <c r="O137" s="108"/>
      <c r="P137" s="108"/>
      <c r="Q137" s="108"/>
      <c r="R137" s="108"/>
      <c r="S137" s="115"/>
      <c r="T137" s="108"/>
      <c r="U137" s="108"/>
      <c r="V137" s="113">
        <f>SUM(V12:V136)</f>
        <v>12169897627</v>
      </c>
      <c r="W137" s="113">
        <f>SUM(W12:W136)</f>
        <v>7688245719.82</v>
      </c>
      <c r="X137" s="225">
        <f>W137/V137</f>
        <v>0.6317428425004121</v>
      </c>
      <c r="Y137" s="113"/>
      <c r="Z137" s="113"/>
      <c r="AA137" s="113"/>
      <c r="AB137" s="109"/>
      <c r="AD137" s="30"/>
    </row>
    <row r="138" spans="1:28" s="112" customFormat="1" ht="12.75" customHeight="1" hidden="1">
      <c r="A138" s="110"/>
      <c r="B138" s="110"/>
      <c r="C138" s="110"/>
      <c r="D138" s="110"/>
      <c r="E138" s="110"/>
      <c r="F138" s="110"/>
      <c r="G138" s="110"/>
      <c r="H138" s="110"/>
      <c r="I138" s="110"/>
      <c r="J138" s="110"/>
      <c r="K138" s="110"/>
      <c r="L138" s="110"/>
      <c r="M138" s="110"/>
      <c r="N138" s="110"/>
      <c r="O138" s="110"/>
      <c r="P138" s="110"/>
      <c r="Q138" s="110"/>
      <c r="R138" s="110"/>
      <c r="S138" s="116">
        <v>1</v>
      </c>
      <c r="T138" s="110"/>
      <c r="U138" s="110"/>
      <c r="V138" s="111"/>
      <c r="W138" s="111"/>
      <c r="X138" s="116">
        <v>1</v>
      </c>
      <c r="Y138" s="111"/>
      <c r="Z138" s="111"/>
      <c r="AA138" s="111"/>
      <c r="AB138" s="3"/>
    </row>
    <row r="139" spans="1:28" s="112" customFormat="1" ht="12.75" customHeight="1" hidden="1">
      <c r="A139" s="110"/>
      <c r="B139" s="110"/>
      <c r="C139" s="110"/>
      <c r="D139" s="110"/>
      <c r="E139" s="110"/>
      <c r="F139" s="110"/>
      <c r="G139" s="110"/>
      <c r="H139" s="110"/>
      <c r="I139" s="110"/>
      <c r="J139" s="110"/>
      <c r="K139" s="110"/>
      <c r="L139" s="110"/>
      <c r="M139" s="110"/>
      <c r="N139" s="110"/>
      <c r="O139" s="110"/>
      <c r="P139" s="110"/>
      <c r="Q139" s="110"/>
      <c r="R139" s="110"/>
      <c r="S139" s="116">
        <v>0</v>
      </c>
      <c r="T139" s="110"/>
      <c r="U139" s="110"/>
      <c r="V139" s="111"/>
      <c r="W139" s="111"/>
      <c r="X139" s="116">
        <v>0</v>
      </c>
      <c r="Y139" s="111"/>
      <c r="Z139" s="111"/>
      <c r="AA139" s="111"/>
      <c r="AB139" s="3"/>
    </row>
    <row r="140" spans="1:28" s="112" customFormat="1" ht="12.75" customHeight="1">
      <c r="A140" s="110"/>
      <c r="B140" s="110"/>
      <c r="C140" s="110"/>
      <c r="D140" s="110"/>
      <c r="E140" s="110"/>
      <c r="F140" s="110"/>
      <c r="G140" s="110"/>
      <c r="H140" s="110"/>
      <c r="I140" s="110"/>
      <c r="J140" s="110"/>
      <c r="K140" s="110"/>
      <c r="L140" s="110"/>
      <c r="M140" s="110"/>
      <c r="N140" s="110"/>
      <c r="O140" s="110"/>
      <c r="P140" s="110"/>
      <c r="Q140" s="110"/>
      <c r="R140" s="110"/>
      <c r="T140" s="110"/>
      <c r="U140" s="110"/>
      <c r="V140" s="111"/>
      <c r="W140" s="111"/>
      <c r="X140" s="111"/>
      <c r="Y140" s="111"/>
      <c r="Z140" s="111"/>
      <c r="AA140" s="111"/>
      <c r="AB140" s="3"/>
    </row>
    <row r="141" spans="1:28" ht="12.75">
      <c r="A141" s="15"/>
      <c r="B141" s="14"/>
      <c r="C141" s="16"/>
      <c r="D141" s="14"/>
      <c r="E141" s="16"/>
      <c r="F141" s="14"/>
      <c r="G141" s="22"/>
      <c r="H141" s="14"/>
      <c r="I141" s="16"/>
      <c r="J141" s="16"/>
      <c r="K141" s="14"/>
      <c r="L141" s="16"/>
      <c r="M141" s="14"/>
      <c r="N141" s="3"/>
      <c r="O141" s="14"/>
      <c r="P141" s="3"/>
      <c r="Q141" s="3"/>
      <c r="R141" s="3"/>
      <c r="S141" s="3"/>
      <c r="T141" s="3"/>
      <c r="U141" s="3"/>
      <c r="V141" s="14"/>
      <c r="W141" s="14"/>
      <c r="X141" s="14"/>
      <c r="Y141" s="14"/>
      <c r="Z141" s="14"/>
      <c r="AA141" s="14"/>
      <c r="AB141" s="73"/>
    </row>
    <row r="142" spans="1:28" ht="42.75" customHeight="1">
      <c r="A142" s="15"/>
      <c r="B142" s="14"/>
      <c r="C142" s="17"/>
      <c r="D142" s="14"/>
      <c r="E142" s="16"/>
      <c r="F142" s="14"/>
      <c r="G142" s="6"/>
      <c r="H142" s="3"/>
      <c r="I142" s="3"/>
      <c r="J142" s="299" t="s">
        <v>10</v>
      </c>
      <c r="K142" s="299"/>
      <c r="L142" s="299"/>
      <c r="M142" s="17"/>
      <c r="N142" s="17"/>
      <c r="O142" s="12" t="s">
        <v>9</v>
      </c>
      <c r="P142" s="16"/>
      <c r="Q142" s="12"/>
      <c r="R142" s="12"/>
      <c r="S142" s="12"/>
      <c r="T142" s="297"/>
      <c r="U142" s="297"/>
      <c r="V142" s="297"/>
      <c r="W142" s="297"/>
      <c r="X142" s="297"/>
      <c r="Y142" s="297"/>
      <c r="Z142" s="297"/>
      <c r="AA142" s="297"/>
      <c r="AB142" s="298"/>
    </row>
    <row r="143" spans="1:29" ht="14.25">
      <c r="A143" s="15"/>
      <c r="B143" s="14"/>
      <c r="C143" s="17"/>
      <c r="D143" s="14"/>
      <c r="E143" s="16"/>
      <c r="F143" s="14"/>
      <c r="G143" s="6"/>
      <c r="H143" s="3"/>
      <c r="I143" s="3"/>
      <c r="J143" s="16"/>
      <c r="K143" s="14"/>
      <c r="L143" s="16"/>
      <c r="M143" s="14"/>
      <c r="N143" s="14"/>
      <c r="O143" s="17"/>
      <c r="P143" s="16"/>
      <c r="Q143" s="3"/>
      <c r="R143" s="3"/>
      <c r="S143" s="3"/>
      <c r="T143" s="3"/>
      <c r="U143" s="3"/>
      <c r="V143" s="296"/>
      <c r="W143" s="65"/>
      <c r="X143" s="65"/>
      <c r="Y143" s="65"/>
      <c r="Z143" s="65"/>
      <c r="AA143" s="65"/>
      <c r="AB143" s="63"/>
      <c r="AC143" s="31"/>
    </row>
    <row r="144" spans="1:28" ht="14.25">
      <c r="A144" s="15"/>
      <c r="B144" s="14"/>
      <c r="C144" s="17"/>
      <c r="D144" s="14"/>
      <c r="E144" s="16"/>
      <c r="F144" s="14"/>
      <c r="G144" s="6"/>
      <c r="H144" s="3"/>
      <c r="I144" s="3"/>
      <c r="J144" s="16"/>
      <c r="K144" s="14"/>
      <c r="L144" s="16"/>
      <c r="M144" s="14"/>
      <c r="N144" s="14"/>
      <c r="O144" s="17"/>
      <c r="P144" s="16"/>
      <c r="Q144" s="16"/>
      <c r="R144" s="16"/>
      <c r="S144" s="16"/>
      <c r="T144" s="16"/>
      <c r="U144" s="16"/>
      <c r="V144" s="296"/>
      <c r="W144" s="65"/>
      <c r="X144" s="65"/>
      <c r="Y144" s="65"/>
      <c r="Z144" s="65"/>
      <c r="AA144" s="65"/>
      <c r="AB144" s="18"/>
    </row>
    <row r="145" spans="1:28" ht="14.25">
      <c r="A145" s="15"/>
      <c r="B145" s="14"/>
      <c r="C145" s="16"/>
      <c r="D145" s="14"/>
      <c r="E145" s="16"/>
      <c r="F145" s="14"/>
      <c r="G145" s="6"/>
      <c r="H145" s="3"/>
      <c r="I145" s="3"/>
      <c r="J145" s="16"/>
      <c r="K145" s="14"/>
      <c r="L145" s="16"/>
      <c r="M145" s="14"/>
      <c r="N145" s="14"/>
      <c r="O145" s="16"/>
      <c r="P145" s="17"/>
      <c r="Q145" s="16"/>
      <c r="R145" s="16"/>
      <c r="S145" s="16"/>
      <c r="T145" s="16"/>
      <c r="U145" s="16"/>
      <c r="V145" s="14"/>
      <c r="W145" s="14"/>
      <c r="X145" s="14"/>
      <c r="Y145" s="14"/>
      <c r="Z145" s="14"/>
      <c r="AA145" s="14"/>
      <c r="AB145" s="18"/>
    </row>
    <row r="146" spans="1:28" ht="14.25" customHeight="1" thickBot="1">
      <c r="A146" s="15"/>
      <c r="B146" s="14"/>
      <c r="C146" s="17"/>
      <c r="D146" s="14"/>
      <c r="E146" s="16"/>
      <c r="F146" s="14"/>
      <c r="G146" s="6"/>
      <c r="H146" s="3"/>
      <c r="I146" s="3"/>
      <c r="J146" s="21"/>
      <c r="K146" s="21"/>
      <c r="L146" s="20"/>
      <c r="M146" s="27"/>
      <c r="N146" s="14"/>
      <c r="O146" s="21"/>
      <c r="P146" s="13"/>
      <c r="Q146" s="16"/>
      <c r="R146" s="16"/>
      <c r="S146" s="16"/>
      <c r="T146" s="16"/>
      <c r="U146" s="16"/>
      <c r="V146" s="14"/>
      <c r="W146" s="14"/>
      <c r="X146" s="14"/>
      <c r="Y146" s="14"/>
      <c r="Z146" s="14"/>
      <c r="AA146" s="14"/>
      <c r="AB146" s="18"/>
    </row>
    <row r="147" spans="1:28" ht="25.5" customHeight="1">
      <c r="A147" s="15"/>
      <c r="B147" s="14"/>
      <c r="C147" s="19"/>
      <c r="D147" s="14"/>
      <c r="E147" s="16"/>
      <c r="F147" s="14"/>
      <c r="G147" s="6"/>
      <c r="H147" s="3"/>
      <c r="I147" s="3"/>
      <c r="J147" s="268" t="s">
        <v>210</v>
      </c>
      <c r="K147" s="268"/>
      <c r="L147" s="268"/>
      <c r="M147" s="268"/>
      <c r="N147" s="14"/>
      <c r="O147" s="13" t="s">
        <v>211</v>
      </c>
      <c r="P147" s="14"/>
      <c r="Q147" s="13"/>
      <c r="R147" s="13"/>
      <c r="S147" s="13"/>
      <c r="T147" s="16"/>
      <c r="U147" s="16"/>
      <c r="V147" s="28"/>
      <c r="W147" s="28"/>
      <c r="X147" s="28"/>
      <c r="Y147" s="28"/>
      <c r="Z147" s="28"/>
      <c r="AA147" s="28"/>
      <c r="AB147" s="18"/>
    </row>
    <row r="148" spans="1:28" ht="15">
      <c r="A148" s="15"/>
      <c r="B148" s="14"/>
      <c r="C148" s="19"/>
      <c r="D148" s="14"/>
      <c r="E148" s="16"/>
      <c r="F148" s="14"/>
      <c r="G148" s="6"/>
      <c r="H148" s="3"/>
      <c r="I148" s="3"/>
      <c r="J148" s="16" t="s">
        <v>11</v>
      </c>
      <c r="K148" s="14"/>
      <c r="L148" s="16"/>
      <c r="M148" s="14"/>
      <c r="N148" s="14"/>
      <c r="O148" s="16" t="s">
        <v>212</v>
      </c>
      <c r="P148" s="16"/>
      <c r="Q148" s="16"/>
      <c r="R148" s="16"/>
      <c r="S148" s="16"/>
      <c r="T148" s="16"/>
      <c r="U148" s="16"/>
      <c r="V148" s="14"/>
      <c r="W148" s="14"/>
      <c r="X148" s="14"/>
      <c r="Y148" s="14"/>
      <c r="Z148" s="14"/>
      <c r="AA148" s="14"/>
      <c r="AB148" s="18"/>
    </row>
    <row r="149" spans="1:28" ht="14.25">
      <c r="A149" s="15"/>
      <c r="B149" s="14"/>
      <c r="C149" s="16"/>
      <c r="D149" s="14"/>
      <c r="E149" s="16"/>
      <c r="F149" s="14"/>
      <c r="G149" s="22"/>
      <c r="H149" s="14"/>
      <c r="I149" s="16"/>
      <c r="J149" s="16"/>
      <c r="K149" s="14"/>
      <c r="L149" s="17"/>
      <c r="M149" s="14"/>
      <c r="N149" s="16"/>
      <c r="O149" s="16"/>
      <c r="P149" s="16"/>
      <c r="Q149" s="16"/>
      <c r="R149" s="16"/>
      <c r="S149" s="16"/>
      <c r="T149" s="16"/>
      <c r="U149" s="16"/>
      <c r="V149" s="14"/>
      <c r="W149" s="14"/>
      <c r="X149" s="14"/>
      <c r="Y149" s="14"/>
      <c r="Z149" s="14"/>
      <c r="AA149" s="14"/>
      <c r="AB149" s="18"/>
    </row>
    <row r="150" spans="1:28" ht="14.25">
      <c r="A150" s="15"/>
      <c r="B150" s="14"/>
      <c r="C150" s="16"/>
      <c r="D150" s="14"/>
      <c r="E150" s="16"/>
      <c r="F150" s="14"/>
      <c r="G150" s="22"/>
      <c r="H150" s="14"/>
      <c r="I150" s="16"/>
      <c r="J150" s="16"/>
      <c r="K150" s="14"/>
      <c r="L150" s="17"/>
      <c r="M150" s="14"/>
      <c r="N150" s="16"/>
      <c r="O150" s="16"/>
      <c r="P150" s="26"/>
      <c r="Q150" s="16"/>
      <c r="R150" s="16"/>
      <c r="S150" s="16"/>
      <c r="T150" s="16"/>
      <c r="U150" s="16"/>
      <c r="V150" s="14"/>
      <c r="W150" s="14"/>
      <c r="X150" s="14"/>
      <c r="Y150" s="14"/>
      <c r="Z150" s="14"/>
      <c r="AA150" s="14"/>
      <c r="AB150" s="18"/>
    </row>
    <row r="151" spans="1:28" ht="31.5" customHeight="1" thickBot="1">
      <c r="A151" s="23"/>
      <c r="B151" s="24"/>
      <c r="C151" s="24"/>
      <c r="D151" s="24"/>
      <c r="E151" s="24"/>
      <c r="F151" s="24"/>
      <c r="G151" s="24"/>
      <c r="H151" s="24"/>
      <c r="I151" s="24"/>
      <c r="J151" s="24"/>
      <c r="K151" s="24"/>
      <c r="L151" s="24"/>
      <c r="M151" s="24"/>
      <c r="N151" s="24"/>
      <c r="O151" s="24"/>
      <c r="P151" s="27"/>
      <c r="Q151" s="24"/>
      <c r="R151" s="24"/>
      <c r="S151" s="24"/>
      <c r="T151" s="24"/>
      <c r="U151" s="24"/>
      <c r="V151" s="24"/>
      <c r="W151" s="24"/>
      <c r="X151" s="24"/>
      <c r="Y151" s="24"/>
      <c r="Z151" s="24"/>
      <c r="AA151" s="24"/>
      <c r="AB151" s="25"/>
    </row>
  </sheetData>
  <sheetProtection/>
  <mergeCells count="428">
    <mergeCell ref="C1:AA1"/>
    <mergeCell ref="C3:AA3"/>
    <mergeCell ref="C4:AA4"/>
    <mergeCell ref="A5:G5"/>
    <mergeCell ref="H5:M5"/>
    <mergeCell ref="V10:V11"/>
    <mergeCell ref="W10:W11"/>
    <mergeCell ref="Y10:Y11"/>
    <mergeCell ref="Z10:Z11"/>
    <mergeCell ref="AA10:AA11"/>
    <mergeCell ref="L10:L11"/>
    <mergeCell ref="M10:M11"/>
    <mergeCell ref="N10:N11"/>
    <mergeCell ref="AB10:AB11"/>
    <mergeCell ref="O10:O11"/>
    <mergeCell ref="P10:P11"/>
    <mergeCell ref="Q10:Q11"/>
    <mergeCell ref="R10:R11"/>
    <mergeCell ref="T10:T11"/>
    <mergeCell ref="U10:U11"/>
    <mergeCell ref="A9:A11"/>
    <mergeCell ref="B9:B11"/>
    <mergeCell ref="C9:C11"/>
    <mergeCell ref="G9:G11"/>
    <mergeCell ref="H9:H11"/>
    <mergeCell ref="D10:D11"/>
    <mergeCell ref="E10:E11"/>
    <mergeCell ref="F10:F11"/>
    <mergeCell ref="N5:AB5"/>
    <mergeCell ref="A6:J6"/>
    <mergeCell ref="L6:AB6"/>
    <mergeCell ref="R8:S8"/>
    <mergeCell ref="T8:X8"/>
    <mergeCell ref="Y8:Z8"/>
    <mergeCell ref="A7:G7"/>
    <mergeCell ref="O8:Q8"/>
    <mergeCell ref="L112:L126"/>
    <mergeCell ref="M112:M126"/>
    <mergeCell ref="N112:N126"/>
    <mergeCell ref="U27:U28"/>
    <mergeCell ref="T29:T30"/>
    <mergeCell ref="N33:N36"/>
    <mergeCell ref="T112:T126"/>
    <mergeCell ref="U112:U126"/>
    <mergeCell ref="L76:L87"/>
    <mergeCell ref="M76:M87"/>
    <mergeCell ref="U23:U26"/>
    <mergeCell ref="U37:U39"/>
    <mergeCell ref="N27:N28"/>
    <mergeCell ref="L33:L36"/>
    <mergeCell ref="N31:N32"/>
    <mergeCell ref="M31:M32"/>
    <mergeCell ref="T27:T28"/>
    <mergeCell ref="U29:U30"/>
    <mergeCell ref="I112:I124"/>
    <mergeCell ref="N49:N57"/>
    <mergeCell ref="F49:F52"/>
    <mergeCell ref="J49:J52"/>
    <mergeCell ref="J97:J100"/>
    <mergeCell ref="H89:H96"/>
    <mergeCell ref="H76:H87"/>
    <mergeCell ref="J89:J96"/>
    <mergeCell ref="K71:K75"/>
    <mergeCell ref="K58:K61"/>
    <mergeCell ref="A89:A136"/>
    <mergeCell ref="K101:K107"/>
    <mergeCell ref="J101:J107"/>
    <mergeCell ref="C101:C107"/>
    <mergeCell ref="I89:I96"/>
    <mergeCell ref="H108:H111"/>
    <mergeCell ref="C97:C100"/>
    <mergeCell ref="C108:C111"/>
    <mergeCell ref="J108:J111"/>
    <mergeCell ref="H97:H100"/>
    <mergeCell ref="U12:U13"/>
    <mergeCell ref="U21:U22"/>
    <mergeCell ref="T21:T22"/>
    <mergeCell ref="J23:J26"/>
    <mergeCell ref="J35:J36"/>
    <mergeCell ref="L20:L22"/>
    <mergeCell ref="M29:M30"/>
    <mergeCell ref="T12:T13"/>
    <mergeCell ref="T14:T17"/>
    <mergeCell ref="L23:L26"/>
    <mergeCell ref="V23:V26"/>
    <mergeCell ref="N23:N26"/>
    <mergeCell ref="AB58:AB62"/>
    <mergeCell ref="I49:I52"/>
    <mergeCell ref="I53:I54"/>
    <mergeCell ref="V49:V57"/>
    <mergeCell ref="AB49:AB57"/>
    <mergeCell ref="AB37:AB39"/>
    <mergeCell ref="K53:K54"/>
    <mergeCell ref="L49:L57"/>
    <mergeCell ref="V14:V17"/>
    <mergeCell ref="V89:V107"/>
    <mergeCell ref="AB20:AB22"/>
    <mergeCell ref="AB31:AB32"/>
    <mergeCell ref="V27:V28"/>
    <mergeCell ref="AB27:AB28"/>
    <mergeCell ref="AB12:AB19"/>
    <mergeCell ref="V37:V39"/>
    <mergeCell ref="AB23:AB26"/>
    <mergeCell ref="AB29:AB30"/>
    <mergeCell ref="K23:K26"/>
    <mergeCell ref="K35:K36"/>
    <mergeCell ref="J53:J54"/>
    <mergeCell ref="K37:K39"/>
    <mergeCell ref="K21:K22"/>
    <mergeCell ref="T18:T19"/>
    <mergeCell ref="M23:M26"/>
    <mergeCell ref="N29:N30"/>
    <mergeCell ref="AB33:AB36"/>
    <mergeCell ref="U33:U34"/>
    <mergeCell ref="V29:V30"/>
    <mergeCell ref="V33:V34"/>
    <mergeCell ref="AB65:AB75"/>
    <mergeCell ref="AB63:AB64"/>
    <mergeCell ref="U35:U36"/>
    <mergeCell ref="U65:U75"/>
    <mergeCell ref="W29:W30"/>
    <mergeCell ref="X29:X30"/>
    <mergeCell ref="J63:J64"/>
    <mergeCell ref="K49:K52"/>
    <mergeCell ref="V18:V19"/>
    <mergeCell ref="M37:M39"/>
    <mergeCell ref="V21:V22"/>
    <mergeCell ref="L27:L28"/>
    <mergeCell ref="M27:M28"/>
    <mergeCell ref="N12:N19"/>
    <mergeCell ref="V35:V36"/>
    <mergeCell ref="M58:M62"/>
    <mergeCell ref="E108:E111"/>
    <mergeCell ref="K12:K13"/>
    <mergeCell ref="K14:K17"/>
    <mergeCell ref="K29:K30"/>
    <mergeCell ref="V12:V13"/>
    <mergeCell ref="V58:V62"/>
    <mergeCell ref="U49:U57"/>
    <mergeCell ref="T23:T26"/>
    <mergeCell ref="M20:M22"/>
    <mergeCell ref="N20:N22"/>
    <mergeCell ref="M65:M75"/>
    <mergeCell ref="L108:L111"/>
    <mergeCell ref="D101:D107"/>
    <mergeCell ref="F97:F100"/>
    <mergeCell ref="E97:E100"/>
    <mergeCell ref="D108:D111"/>
    <mergeCell ref="I65:I70"/>
    <mergeCell ref="F89:F96"/>
    <mergeCell ref="K97:K100"/>
    <mergeCell ref="K108:K111"/>
    <mergeCell ref="H63:H64"/>
    <mergeCell ref="K82:K87"/>
    <mergeCell ref="J65:J70"/>
    <mergeCell ref="G40:G87"/>
    <mergeCell ref="J71:J75"/>
    <mergeCell ref="J58:J61"/>
    <mergeCell ref="H49:H57"/>
    <mergeCell ref="I63:I64"/>
    <mergeCell ref="H58:H62"/>
    <mergeCell ref="K79:K81"/>
    <mergeCell ref="N58:N62"/>
    <mergeCell ref="M63:M64"/>
    <mergeCell ref="T127:T135"/>
    <mergeCell ref="M89:M107"/>
    <mergeCell ref="T108:T111"/>
    <mergeCell ref="N76:N87"/>
    <mergeCell ref="M108:M111"/>
    <mergeCell ref="N108:N111"/>
    <mergeCell ref="N63:N64"/>
    <mergeCell ref="T58:T62"/>
    <mergeCell ref="V108:V111"/>
    <mergeCell ref="U127:U135"/>
    <mergeCell ref="AB108:AB111"/>
    <mergeCell ref="U108:U111"/>
    <mergeCell ref="V127:V135"/>
    <mergeCell ref="V112:V126"/>
    <mergeCell ref="AB112:AB126"/>
    <mergeCell ref="W112:W126"/>
    <mergeCell ref="X112:X126"/>
    <mergeCell ref="W127:W135"/>
    <mergeCell ref="AB89:AB107"/>
    <mergeCell ref="E112:E124"/>
    <mergeCell ref="E89:E96"/>
    <mergeCell ref="D97:D100"/>
    <mergeCell ref="D89:D96"/>
    <mergeCell ref="AB127:AB135"/>
    <mergeCell ref="L127:L135"/>
    <mergeCell ref="N127:N135"/>
    <mergeCell ref="N89:N107"/>
    <mergeCell ref="F108:F111"/>
    <mergeCell ref="K89:K96"/>
    <mergeCell ref="A12:A88"/>
    <mergeCell ref="I21:I22"/>
    <mergeCell ref="H18:H19"/>
    <mergeCell ref="D58:D61"/>
    <mergeCell ref="D76:D78"/>
    <mergeCell ref="H65:H75"/>
    <mergeCell ref="D12:D13"/>
    <mergeCell ref="E12:E13"/>
    <mergeCell ref="E71:E75"/>
    <mergeCell ref="C12:C13"/>
    <mergeCell ref="K127:K135"/>
    <mergeCell ref="D63:D64"/>
    <mergeCell ref="F112:F124"/>
    <mergeCell ref="I101:I107"/>
    <mergeCell ref="D71:D75"/>
    <mergeCell ref="J112:J124"/>
    <mergeCell ref="K65:K70"/>
    <mergeCell ref="I71:I75"/>
    <mergeCell ref="F40:F48"/>
    <mergeCell ref="B127:B135"/>
    <mergeCell ref="C127:C135"/>
    <mergeCell ref="D127:D135"/>
    <mergeCell ref="E127:E135"/>
    <mergeCell ref="D79:D81"/>
    <mergeCell ref="I108:I111"/>
    <mergeCell ref="I97:I100"/>
    <mergeCell ref="G89:G111"/>
    <mergeCell ref="F101:F107"/>
    <mergeCell ref="B40:B87"/>
    <mergeCell ref="B12:B39"/>
    <mergeCell ref="J127:J135"/>
    <mergeCell ref="E76:E78"/>
    <mergeCell ref="E79:E81"/>
    <mergeCell ref="C79:C81"/>
    <mergeCell ref="D112:D124"/>
    <mergeCell ref="I76:I78"/>
    <mergeCell ref="I79:I81"/>
    <mergeCell ref="J79:J81"/>
    <mergeCell ref="E65:E70"/>
    <mergeCell ref="T89:T107"/>
    <mergeCell ref="U89:U107"/>
    <mergeCell ref="G127:G135"/>
    <mergeCell ref="M127:M135"/>
    <mergeCell ref="G112:G124"/>
    <mergeCell ref="H112:H124"/>
    <mergeCell ref="K112:K124"/>
    <mergeCell ref="L89:L107"/>
    <mergeCell ref="I127:I135"/>
    <mergeCell ref="H127:H135"/>
    <mergeCell ref="V143:V144"/>
    <mergeCell ref="T142:AB142"/>
    <mergeCell ref="J142:L142"/>
    <mergeCell ref="H101:H107"/>
    <mergeCell ref="F127:F135"/>
    <mergeCell ref="F23:F26"/>
    <mergeCell ref="F79:F81"/>
    <mergeCell ref="J76:J78"/>
    <mergeCell ref="F63:F64"/>
    <mergeCell ref="I58:I61"/>
    <mergeCell ref="D18:D19"/>
    <mergeCell ref="I9:K9"/>
    <mergeCell ref="D9:F9"/>
    <mergeCell ref="I14:I17"/>
    <mergeCell ref="I10:I11"/>
    <mergeCell ref="J10:J11"/>
    <mergeCell ref="K10:K11"/>
    <mergeCell ref="K18:K19"/>
    <mergeCell ref="F12:F13"/>
    <mergeCell ref="J12:J13"/>
    <mergeCell ref="C35:C36"/>
    <mergeCell ref="D35:D36"/>
    <mergeCell ref="A1:B4"/>
    <mergeCell ref="L8:N8"/>
    <mergeCell ref="A8:K8"/>
    <mergeCell ref="L31:L32"/>
    <mergeCell ref="L12:L19"/>
    <mergeCell ref="L29:L30"/>
    <mergeCell ref="I23:I26"/>
    <mergeCell ref="C18:C19"/>
    <mergeCell ref="F37:F39"/>
    <mergeCell ref="F58:F61"/>
    <mergeCell ref="C65:C70"/>
    <mergeCell ref="E37:E39"/>
    <mergeCell ref="C49:C52"/>
    <mergeCell ref="F53:F54"/>
    <mergeCell ref="D49:D57"/>
    <mergeCell ref="C58:C61"/>
    <mergeCell ref="C53:C54"/>
    <mergeCell ref="E53:E54"/>
    <mergeCell ref="H23:H26"/>
    <mergeCell ref="H29:H30"/>
    <mergeCell ref="C71:C75"/>
    <mergeCell ref="D65:D70"/>
    <mergeCell ref="F71:F75"/>
    <mergeCell ref="C37:C39"/>
    <mergeCell ref="D37:D39"/>
    <mergeCell ref="C23:C26"/>
    <mergeCell ref="D29:D30"/>
    <mergeCell ref="E29:E30"/>
    <mergeCell ref="G21:G22"/>
    <mergeCell ref="G12:G19"/>
    <mergeCell ref="J14:J17"/>
    <mergeCell ref="G23:G30"/>
    <mergeCell ref="F29:F30"/>
    <mergeCell ref="H12:H13"/>
    <mergeCell ref="I12:I13"/>
    <mergeCell ref="H14:H17"/>
    <mergeCell ref="J29:J30"/>
    <mergeCell ref="I29:I30"/>
    <mergeCell ref="C29:C30"/>
    <mergeCell ref="D23:D26"/>
    <mergeCell ref="E23:E26"/>
    <mergeCell ref="B89:B124"/>
    <mergeCell ref="C112:C124"/>
    <mergeCell ref="E101:E107"/>
    <mergeCell ref="C89:C96"/>
    <mergeCell ref="E58:E61"/>
    <mergeCell ref="E63:E64"/>
    <mergeCell ref="E35:E36"/>
    <mergeCell ref="F76:F78"/>
    <mergeCell ref="F65:F70"/>
    <mergeCell ref="C76:C78"/>
    <mergeCell ref="C14:C17"/>
    <mergeCell ref="D14:D17"/>
    <mergeCell ref="E14:E17"/>
    <mergeCell ref="F14:F17"/>
    <mergeCell ref="E21:E22"/>
    <mergeCell ref="E18:E19"/>
    <mergeCell ref="F18:F19"/>
    <mergeCell ref="C21:C22"/>
    <mergeCell ref="D21:D22"/>
    <mergeCell ref="F21:F22"/>
    <mergeCell ref="M12:M19"/>
    <mergeCell ref="U14:U17"/>
    <mergeCell ref="U18:U19"/>
    <mergeCell ref="H21:H22"/>
    <mergeCell ref="I18:I19"/>
    <mergeCell ref="J18:J19"/>
    <mergeCell ref="J21:J22"/>
    <mergeCell ref="J147:M147"/>
    <mergeCell ref="N37:N39"/>
    <mergeCell ref="T37:T39"/>
    <mergeCell ref="T35:T36"/>
    <mergeCell ref="M33:M36"/>
    <mergeCell ref="J82:J87"/>
    <mergeCell ref="L63:L64"/>
    <mergeCell ref="J37:J39"/>
    <mergeCell ref="T65:T75"/>
    <mergeCell ref="T33:T34"/>
    <mergeCell ref="F35:F36"/>
    <mergeCell ref="H35:H36"/>
    <mergeCell ref="I35:I36"/>
    <mergeCell ref="G31:G36"/>
    <mergeCell ref="H33:H34"/>
    <mergeCell ref="T76:T87"/>
    <mergeCell ref="M49:M57"/>
    <mergeCell ref="N65:N75"/>
    <mergeCell ref="G37:G39"/>
    <mergeCell ref="H37:H39"/>
    <mergeCell ref="I33:I34"/>
    <mergeCell ref="J33:J34"/>
    <mergeCell ref="K33:K34"/>
    <mergeCell ref="I37:I39"/>
    <mergeCell ref="L37:L39"/>
    <mergeCell ref="AB76:AB87"/>
    <mergeCell ref="K63:K64"/>
    <mergeCell ref="L58:L62"/>
    <mergeCell ref="I82:I87"/>
    <mergeCell ref="U76:U87"/>
    <mergeCell ref="K76:K78"/>
    <mergeCell ref="V65:V75"/>
    <mergeCell ref="U63:U64"/>
    <mergeCell ref="C40:C48"/>
    <mergeCell ref="D40:D48"/>
    <mergeCell ref="E40:E48"/>
    <mergeCell ref="C63:C64"/>
    <mergeCell ref="V76:V87"/>
    <mergeCell ref="T63:T64"/>
    <mergeCell ref="V63:V64"/>
    <mergeCell ref="L65:L75"/>
    <mergeCell ref="U58:U62"/>
    <mergeCell ref="T49:T57"/>
    <mergeCell ref="AB40:AB48"/>
    <mergeCell ref="M40:M48"/>
    <mergeCell ref="N40:N48"/>
    <mergeCell ref="T40:T48"/>
    <mergeCell ref="V40:V48"/>
    <mergeCell ref="L40:L48"/>
    <mergeCell ref="W40:W48"/>
    <mergeCell ref="C82:C87"/>
    <mergeCell ref="D82:D87"/>
    <mergeCell ref="E82:E87"/>
    <mergeCell ref="F82:F87"/>
    <mergeCell ref="E49:E52"/>
    <mergeCell ref="U40:U48"/>
    <mergeCell ref="H40:H48"/>
    <mergeCell ref="I40:I48"/>
    <mergeCell ref="J40:J48"/>
    <mergeCell ref="K40:K48"/>
    <mergeCell ref="W12:W13"/>
    <mergeCell ref="X12:X13"/>
    <mergeCell ref="W14:W17"/>
    <mergeCell ref="X14:X17"/>
    <mergeCell ref="W18:W19"/>
    <mergeCell ref="X18:X19"/>
    <mergeCell ref="W21:W22"/>
    <mergeCell ref="X21:X22"/>
    <mergeCell ref="W23:W26"/>
    <mergeCell ref="X23:X26"/>
    <mergeCell ref="W27:W28"/>
    <mergeCell ref="X27:X28"/>
    <mergeCell ref="Y25:Y26"/>
    <mergeCell ref="Z25:Z26"/>
    <mergeCell ref="W76:W87"/>
    <mergeCell ref="X76:X87"/>
    <mergeCell ref="W33:W34"/>
    <mergeCell ref="X33:X34"/>
    <mergeCell ref="W35:W36"/>
    <mergeCell ref="X35:X36"/>
    <mergeCell ref="W37:W39"/>
    <mergeCell ref="X37:X39"/>
    <mergeCell ref="W58:W62"/>
    <mergeCell ref="X58:X62"/>
    <mergeCell ref="W63:W64"/>
    <mergeCell ref="X63:X64"/>
    <mergeCell ref="X40:X48"/>
    <mergeCell ref="W49:W57"/>
    <mergeCell ref="X49:X57"/>
    <mergeCell ref="X127:X135"/>
    <mergeCell ref="W108:W111"/>
    <mergeCell ref="X108:X111"/>
    <mergeCell ref="W65:W75"/>
    <mergeCell ref="X65:X75"/>
    <mergeCell ref="W89:W107"/>
    <mergeCell ref="X89:X107"/>
  </mergeCells>
  <conditionalFormatting sqref="S12:S136">
    <cfRule type="colorScale" priority="8" dxfId="0">
      <colorScale>
        <cfvo type="percent" val="50"/>
        <cfvo type="percent" val="75"/>
        <cfvo type="max"/>
        <color rgb="FFFF0000"/>
        <color rgb="FFFFFF00"/>
        <color rgb="FF63BE7B"/>
      </colorScale>
    </cfRule>
  </conditionalFormatting>
  <conditionalFormatting sqref="S12:S139">
    <cfRule type="colorScale" priority="4" dxfId="0">
      <colorScale>
        <cfvo type="percent" val="50"/>
        <cfvo type="percent" val="75"/>
        <cfvo type="percent" val="100"/>
        <color rgb="FFFF0000"/>
        <color rgb="FFFFFF00"/>
        <color rgb="FF92D050"/>
      </colorScale>
    </cfRule>
    <cfRule type="colorScale" priority="6" dxfId="0">
      <colorScale>
        <cfvo type="percent" val="25"/>
        <cfvo type="percent" val="50"/>
        <cfvo type="percent" val="100"/>
        <color rgb="FFFF0000"/>
        <color rgb="FFFFFF00"/>
        <color rgb="FF92D050"/>
      </colorScale>
    </cfRule>
    <cfRule type="colorScale" priority="7" dxfId="0">
      <colorScale>
        <cfvo type="percent" val="50"/>
        <cfvo type="percent" val="75"/>
        <cfvo type="percent" val="100"/>
        <color rgb="FFFF0000"/>
        <color rgb="FFFFFF00"/>
        <color rgb="FF92D050"/>
      </colorScale>
    </cfRule>
    <cfRule type="colorScale" priority="2" dxfId="0">
      <colorScale>
        <cfvo type="percent" val="50"/>
        <cfvo type="percent" val="75"/>
        <cfvo type="percent" val="100"/>
        <color rgb="FFFF0000"/>
        <color rgb="FFFFFF00"/>
        <color rgb="FF92D050"/>
      </colorScale>
    </cfRule>
  </conditionalFormatting>
  <conditionalFormatting sqref="X12:X139">
    <cfRule type="colorScale" priority="3" dxfId="0">
      <colorScale>
        <cfvo type="percent" val="50"/>
        <cfvo type="percent" val="75"/>
        <cfvo type="percent" val="100"/>
        <color rgb="FFFF0000"/>
        <color rgb="FFFFFF00"/>
        <color rgb="FF92D050"/>
      </colorScale>
    </cfRule>
    <cfRule type="colorScale" priority="5" dxfId="0">
      <colorScale>
        <cfvo type="percent" val="50"/>
        <cfvo type="percent" val="50"/>
        <cfvo type="percent" val="100"/>
        <color rgb="FFFF0000"/>
        <color rgb="FFFFFF00"/>
        <color rgb="FF92D050"/>
      </colorScale>
    </cfRule>
    <cfRule type="colorScale" priority="1" dxfId="0">
      <colorScale>
        <cfvo type="percent" val="50"/>
        <cfvo type="percent" val="75"/>
        <cfvo type="percent" val="100"/>
        <color rgb="FFFF0000"/>
        <color rgb="FFFFFF00"/>
        <color rgb="FF92D050"/>
      </colorScale>
    </cfRule>
  </conditionalFormatting>
  <printOptions horizontalCentered="1"/>
  <pageMargins left="0.5" right="0.75" top="0.539370079" bottom="0.236220472440945" header="0.275590551181102" footer="0.118110236220472"/>
  <pageSetup fitToHeight="0" fitToWidth="1" horizontalDpi="600" verticalDpi="600" orientation="landscape" paperSize="5" scale="22" r:id="rId4"/>
  <drawing r:id="rId3"/>
  <legacyDrawing r:id="rId2"/>
</worksheet>
</file>

<file path=xl/worksheets/sheet2.xml><?xml version="1.0" encoding="utf-8"?>
<worksheet xmlns="http://schemas.openxmlformats.org/spreadsheetml/2006/main" xmlns:r="http://schemas.openxmlformats.org/officeDocument/2006/relationships">
  <dimension ref="A1:S139"/>
  <sheetViews>
    <sheetView zoomScale="44" zoomScaleNormal="44" zoomScalePageLayoutView="0" workbookViewId="0" topLeftCell="B112">
      <selection activeCell="R10" sqref="R10"/>
    </sheetView>
  </sheetViews>
  <sheetFormatPr defaultColWidth="10.8515625" defaultRowHeight="12.75"/>
  <cols>
    <col min="1" max="1" width="24.140625" style="153" customWidth="1"/>
    <col min="2" max="2" width="27.8515625" style="153" customWidth="1"/>
    <col min="3" max="3" width="27.8515625" style="208" customWidth="1"/>
    <col min="4" max="4" width="27.8515625" style="153" customWidth="1"/>
    <col min="5" max="5" width="22.421875" style="153" customWidth="1"/>
    <col min="6" max="6" width="15.57421875" style="153" customWidth="1"/>
    <col min="7" max="7" width="21.57421875" style="153" customWidth="1"/>
    <col min="8" max="8" width="28.8515625" style="153" customWidth="1"/>
    <col min="9" max="9" width="22.00390625" style="153" customWidth="1"/>
    <col min="10" max="10" width="20.8515625" style="153" customWidth="1"/>
    <col min="11" max="11" width="22.421875" style="153" customWidth="1"/>
    <col min="12" max="12" width="10.8515625" style="153" customWidth="1"/>
    <col min="13" max="13" width="10.8515625" style="220" customWidth="1"/>
    <col min="14" max="14" width="26.8515625" style="220" customWidth="1"/>
    <col min="15" max="16" width="21.28125" style="220" customWidth="1"/>
    <col min="17" max="17" width="28.8515625" style="153" customWidth="1"/>
    <col min="18" max="18" width="23.00390625" style="153" customWidth="1"/>
    <col min="19" max="19" width="29.8515625" style="153" customWidth="1"/>
    <col min="20" max="16384" width="10.8515625" style="153" customWidth="1"/>
  </cols>
  <sheetData>
    <row r="1" spans="1:16" ht="72.75" thickBot="1">
      <c r="A1" s="358" t="s">
        <v>6</v>
      </c>
      <c r="B1" s="358" t="s">
        <v>30</v>
      </c>
      <c r="C1" s="358" t="s">
        <v>415</v>
      </c>
      <c r="D1" s="358" t="s">
        <v>416</v>
      </c>
      <c r="E1" s="358" t="s">
        <v>29</v>
      </c>
      <c r="F1" s="358" t="s">
        <v>28</v>
      </c>
      <c r="G1" s="387" t="s">
        <v>326</v>
      </c>
      <c r="H1" s="152" t="s">
        <v>334</v>
      </c>
      <c r="I1" s="385" t="s">
        <v>327</v>
      </c>
      <c r="J1" s="387" t="s">
        <v>328</v>
      </c>
      <c r="K1" s="152" t="s">
        <v>335</v>
      </c>
      <c r="N1" s="220" t="s">
        <v>417</v>
      </c>
      <c r="O1" s="220" t="s">
        <v>418</v>
      </c>
      <c r="P1" s="220" t="s">
        <v>419</v>
      </c>
    </row>
    <row r="2" spans="1:16" ht="36.75" thickBot="1">
      <c r="A2" s="391"/>
      <c r="B2" s="391"/>
      <c r="C2" s="359"/>
      <c r="D2" s="359"/>
      <c r="E2" s="391"/>
      <c r="F2" s="391"/>
      <c r="G2" s="388"/>
      <c r="H2" s="154" t="s">
        <v>332</v>
      </c>
      <c r="I2" s="386"/>
      <c r="J2" s="388"/>
      <c r="K2" s="155" t="s">
        <v>333</v>
      </c>
      <c r="M2" s="220">
        <v>1</v>
      </c>
      <c r="N2" s="221">
        <f>SUM(I3:I10)</f>
        <v>1031821180</v>
      </c>
      <c r="O2" s="221">
        <f>SUM(J3:J10)</f>
        <v>296271180</v>
      </c>
      <c r="P2" s="222">
        <f>O2/N2</f>
        <v>0.2871342299835326</v>
      </c>
    </row>
    <row r="3" spans="1:16" ht="24">
      <c r="A3" s="389" t="s">
        <v>102</v>
      </c>
      <c r="B3" s="157" t="s">
        <v>276</v>
      </c>
      <c r="C3" s="156">
        <v>1</v>
      </c>
      <c r="D3" s="384">
        <f>SUM(H3:H10)/8</f>
        <v>0.71875</v>
      </c>
      <c r="E3" s="156">
        <v>0</v>
      </c>
      <c r="F3" s="156">
        <v>2</v>
      </c>
      <c r="G3" s="158">
        <v>2</v>
      </c>
      <c r="H3" s="159">
        <f>G3/F3</f>
        <v>1</v>
      </c>
      <c r="I3" s="390">
        <f>50000000+578921180</f>
        <v>628921180</v>
      </c>
      <c r="J3" s="390">
        <f>50000000+50000000</f>
        <v>100000000</v>
      </c>
      <c r="K3" s="383">
        <f>J3/I3</f>
        <v>0.15900243652153676</v>
      </c>
      <c r="M3" s="220">
        <v>2</v>
      </c>
      <c r="N3" s="223">
        <f>SUM(I11:I13)</f>
        <v>1134878820</v>
      </c>
      <c r="O3" s="223">
        <f>SUM(J11:J13)</f>
        <v>1114081771.2</v>
      </c>
      <c r="P3" s="222">
        <f aca="true" t="shared" si="0" ref="P3:P21">O3/N3</f>
        <v>0.9816746524532021</v>
      </c>
    </row>
    <row r="4" spans="1:16" ht="60">
      <c r="A4" s="360"/>
      <c r="B4" s="160" t="s">
        <v>277</v>
      </c>
      <c r="C4" s="158">
        <v>2</v>
      </c>
      <c r="D4" s="373"/>
      <c r="E4" s="161">
        <v>1</v>
      </c>
      <c r="F4" s="161">
        <v>1</v>
      </c>
      <c r="G4" s="162">
        <v>0.7</v>
      </c>
      <c r="H4" s="159">
        <f aca="true" t="shared" si="1" ref="H4:H67">G4/F4</f>
        <v>0.7</v>
      </c>
      <c r="I4" s="382"/>
      <c r="J4" s="382"/>
      <c r="K4" s="357"/>
      <c r="M4" s="220">
        <v>3</v>
      </c>
      <c r="N4" s="223">
        <f>SUM(I14)</f>
        <v>1777186101</v>
      </c>
      <c r="O4" s="223">
        <f>J14</f>
        <v>46650000</v>
      </c>
      <c r="P4" s="222">
        <f t="shared" si="0"/>
        <v>0.026249361264839198</v>
      </c>
    </row>
    <row r="5" spans="1:16" ht="36">
      <c r="A5" s="360"/>
      <c r="B5" s="160" t="s">
        <v>132</v>
      </c>
      <c r="C5" s="158">
        <v>3</v>
      </c>
      <c r="D5" s="373"/>
      <c r="E5" s="161">
        <v>0</v>
      </c>
      <c r="F5" s="161">
        <v>0.15</v>
      </c>
      <c r="G5" s="162">
        <v>0.07</v>
      </c>
      <c r="H5" s="159">
        <f t="shared" si="1"/>
        <v>0.46666666666666673</v>
      </c>
      <c r="I5" s="382">
        <f>94359706+101000000+127540294+30000000</f>
        <v>352900000</v>
      </c>
      <c r="J5" s="382">
        <f>50000000+96271180</f>
        <v>146271180</v>
      </c>
      <c r="K5" s="357">
        <f>J5/I5</f>
        <v>0.4144833663927458</v>
      </c>
      <c r="M5" s="220">
        <v>4</v>
      </c>
      <c r="N5" s="223">
        <f>I18</f>
        <v>911200000</v>
      </c>
      <c r="O5" s="223">
        <f>J18</f>
        <v>889950000</v>
      </c>
      <c r="P5" s="222">
        <f t="shared" si="0"/>
        <v>0.976679104477612</v>
      </c>
    </row>
    <row r="6" spans="1:16" ht="24">
      <c r="A6" s="360"/>
      <c r="B6" s="160" t="s">
        <v>133</v>
      </c>
      <c r="C6" s="158">
        <v>4</v>
      </c>
      <c r="D6" s="373"/>
      <c r="E6" s="158">
        <v>347</v>
      </c>
      <c r="F6" s="158">
        <v>600</v>
      </c>
      <c r="G6" s="164">
        <v>600</v>
      </c>
      <c r="H6" s="159">
        <f t="shared" si="1"/>
        <v>1</v>
      </c>
      <c r="I6" s="382"/>
      <c r="J6" s="382"/>
      <c r="K6" s="357"/>
      <c r="M6" s="220">
        <v>5</v>
      </c>
      <c r="N6" s="223">
        <f>I20</f>
        <v>44850000</v>
      </c>
      <c r="O6" s="223">
        <f>J20</f>
        <v>44850000</v>
      </c>
      <c r="P6" s="222">
        <f t="shared" si="0"/>
        <v>1</v>
      </c>
    </row>
    <row r="7" spans="1:16" ht="36">
      <c r="A7" s="360"/>
      <c r="B7" s="160" t="s">
        <v>218</v>
      </c>
      <c r="C7" s="158">
        <v>5</v>
      </c>
      <c r="D7" s="373"/>
      <c r="E7" s="158">
        <v>1</v>
      </c>
      <c r="F7" s="158">
        <v>1</v>
      </c>
      <c r="G7" s="164">
        <v>0.45</v>
      </c>
      <c r="H7" s="159">
        <f t="shared" si="1"/>
        <v>0.45</v>
      </c>
      <c r="I7" s="382"/>
      <c r="J7" s="382"/>
      <c r="K7" s="357"/>
      <c r="M7" s="220">
        <v>6</v>
      </c>
      <c r="N7" s="223">
        <f>SUM(I22:I23)</f>
        <v>100000000</v>
      </c>
      <c r="O7" s="223">
        <f>SUM(J22:J23)</f>
        <v>100000000</v>
      </c>
      <c r="P7" s="222">
        <f t="shared" si="0"/>
        <v>1</v>
      </c>
    </row>
    <row r="8" spans="1:16" ht="24">
      <c r="A8" s="360"/>
      <c r="B8" s="160" t="s">
        <v>144</v>
      </c>
      <c r="C8" s="158">
        <v>6</v>
      </c>
      <c r="D8" s="373"/>
      <c r="E8" s="161">
        <v>0</v>
      </c>
      <c r="F8" s="161">
        <v>0.15</v>
      </c>
      <c r="G8" s="162">
        <v>0.07</v>
      </c>
      <c r="H8" s="159">
        <f t="shared" si="1"/>
        <v>0.46666666666666673</v>
      </c>
      <c r="I8" s="382"/>
      <c r="J8" s="382"/>
      <c r="K8" s="357"/>
      <c r="M8" s="220">
        <v>7</v>
      </c>
      <c r="N8" s="223">
        <f>SUM(I24:I27)</f>
        <v>92400000</v>
      </c>
      <c r="O8" s="223">
        <f>SUM(J24:J27)</f>
        <v>89400000</v>
      </c>
      <c r="P8" s="222">
        <f t="shared" si="0"/>
        <v>0.9675324675324676</v>
      </c>
    </row>
    <row r="9" spans="1:16" ht="48">
      <c r="A9" s="360"/>
      <c r="B9" s="160" t="s">
        <v>145</v>
      </c>
      <c r="C9" s="158">
        <v>7</v>
      </c>
      <c r="D9" s="373"/>
      <c r="E9" s="165">
        <v>30</v>
      </c>
      <c r="F9" s="165">
        <v>10</v>
      </c>
      <c r="G9" s="166">
        <v>10</v>
      </c>
      <c r="H9" s="159">
        <f t="shared" si="1"/>
        <v>1</v>
      </c>
      <c r="I9" s="382">
        <v>50000000</v>
      </c>
      <c r="J9" s="382">
        <v>50000000</v>
      </c>
      <c r="K9" s="357">
        <f>J9/I9</f>
        <v>1</v>
      </c>
      <c r="M9" s="220">
        <v>8</v>
      </c>
      <c r="N9" s="223">
        <f>SUM(I28)</f>
        <v>49200000</v>
      </c>
      <c r="O9" s="223">
        <f>J28</f>
        <v>47550000</v>
      </c>
      <c r="P9" s="222">
        <f t="shared" si="0"/>
        <v>0.9664634146341463</v>
      </c>
    </row>
    <row r="10" spans="1:16" ht="48">
      <c r="A10" s="360"/>
      <c r="B10" s="160" t="s">
        <v>162</v>
      </c>
      <c r="C10" s="199">
        <v>8</v>
      </c>
      <c r="D10" s="374"/>
      <c r="E10" s="158">
        <v>3</v>
      </c>
      <c r="F10" s="158">
        <v>3</v>
      </c>
      <c r="G10" s="164">
        <v>2</v>
      </c>
      <c r="H10" s="159">
        <f t="shared" si="1"/>
        <v>0.6666666666666666</v>
      </c>
      <c r="I10" s="382"/>
      <c r="J10" s="382"/>
      <c r="K10" s="357"/>
      <c r="M10" s="220">
        <v>9</v>
      </c>
      <c r="N10" s="224">
        <f>I31</f>
        <v>2599150720</v>
      </c>
      <c r="O10" s="224">
        <f>J31</f>
        <v>1925347560.62</v>
      </c>
      <c r="P10" s="222">
        <f t="shared" si="0"/>
        <v>0.7407602590356899</v>
      </c>
    </row>
    <row r="11" spans="1:16" ht="60">
      <c r="A11" s="360" t="s">
        <v>103</v>
      </c>
      <c r="B11" s="167" t="s">
        <v>228</v>
      </c>
      <c r="C11" s="200">
        <v>1</v>
      </c>
      <c r="D11" s="379">
        <f>SUM(H11:H13)/3</f>
        <v>0.9166666666666666</v>
      </c>
      <c r="E11" s="158">
        <v>1</v>
      </c>
      <c r="F11" s="158">
        <v>1</v>
      </c>
      <c r="G11" s="164">
        <v>1</v>
      </c>
      <c r="H11" s="159">
        <f t="shared" si="1"/>
        <v>1</v>
      </c>
      <c r="I11" s="168">
        <f>93000000+969078820+20000000</f>
        <v>1082078820</v>
      </c>
      <c r="J11" s="168">
        <f>93000000+968281771.2</f>
        <v>1061281771.2</v>
      </c>
      <c r="K11" s="163">
        <f>J11/I11</f>
        <v>0.9807804677296983</v>
      </c>
      <c r="M11" s="220">
        <v>10</v>
      </c>
      <c r="N11" s="223">
        <f>I40</f>
        <v>69000000</v>
      </c>
      <c r="O11" s="223">
        <f>J40</f>
        <v>69000000</v>
      </c>
      <c r="P11" s="222">
        <f t="shared" si="0"/>
        <v>1</v>
      </c>
    </row>
    <row r="12" spans="1:16" ht="48">
      <c r="A12" s="360"/>
      <c r="B12" s="160" t="s">
        <v>290</v>
      </c>
      <c r="C12" s="158">
        <v>2</v>
      </c>
      <c r="D12" s="380"/>
      <c r="E12" s="161">
        <v>1</v>
      </c>
      <c r="F12" s="161">
        <v>1</v>
      </c>
      <c r="G12" s="162">
        <v>1</v>
      </c>
      <c r="H12" s="159">
        <f t="shared" si="1"/>
        <v>1</v>
      </c>
      <c r="I12" s="361">
        <v>52800000</v>
      </c>
      <c r="J12" s="361">
        <v>52800000</v>
      </c>
      <c r="K12" s="357">
        <f>J12/I12</f>
        <v>1</v>
      </c>
      <c r="M12" s="220">
        <v>11</v>
      </c>
      <c r="N12" s="223">
        <f>I49</f>
        <v>0</v>
      </c>
      <c r="O12" s="223">
        <f>J49</f>
        <v>0</v>
      </c>
      <c r="P12" s="222" t="e">
        <f t="shared" si="0"/>
        <v>#DIV/0!</v>
      </c>
    </row>
    <row r="13" spans="1:16" ht="36">
      <c r="A13" s="360"/>
      <c r="B13" s="160" t="s">
        <v>265</v>
      </c>
      <c r="C13" s="199">
        <v>3</v>
      </c>
      <c r="D13" s="381"/>
      <c r="E13" s="161">
        <v>1</v>
      </c>
      <c r="F13" s="161">
        <v>1</v>
      </c>
      <c r="G13" s="162">
        <v>0.75</v>
      </c>
      <c r="H13" s="159">
        <f t="shared" si="1"/>
        <v>0.75</v>
      </c>
      <c r="I13" s="361"/>
      <c r="J13" s="361"/>
      <c r="K13" s="357"/>
      <c r="M13" s="220">
        <v>12</v>
      </c>
      <c r="N13" s="223">
        <f>I54</f>
        <v>0</v>
      </c>
      <c r="O13" s="223">
        <f>J54</f>
        <v>0</v>
      </c>
      <c r="P13" s="222" t="e">
        <f t="shared" si="0"/>
        <v>#DIV/0!</v>
      </c>
    </row>
    <row r="14" spans="1:16" ht="48">
      <c r="A14" s="360" t="s">
        <v>104</v>
      </c>
      <c r="B14" s="160" t="s">
        <v>291</v>
      </c>
      <c r="C14" s="158">
        <v>1</v>
      </c>
      <c r="D14" s="372">
        <f>SUM(H14:H17)/4</f>
        <v>0.75</v>
      </c>
      <c r="E14" s="158">
        <v>0</v>
      </c>
      <c r="F14" s="158">
        <v>150</v>
      </c>
      <c r="G14" s="164">
        <v>150</v>
      </c>
      <c r="H14" s="159">
        <f t="shared" si="1"/>
        <v>1</v>
      </c>
      <c r="I14" s="361">
        <f>33000000+15300000+1728886101</f>
        <v>1777186101</v>
      </c>
      <c r="J14" s="361">
        <f>33000000+13650000</f>
        <v>46650000</v>
      </c>
      <c r="K14" s="357">
        <f>J14/I14</f>
        <v>0.026249361264839198</v>
      </c>
      <c r="M14" s="220">
        <v>13</v>
      </c>
      <c r="N14" s="223">
        <f>I56</f>
        <v>0</v>
      </c>
      <c r="O14" s="223">
        <f>J56</f>
        <v>0</v>
      </c>
      <c r="P14" s="222" t="e">
        <f t="shared" si="0"/>
        <v>#DIV/0!</v>
      </c>
    </row>
    <row r="15" spans="1:16" ht="36">
      <c r="A15" s="360"/>
      <c r="B15" s="160" t="s">
        <v>273</v>
      </c>
      <c r="C15" s="158">
        <v>2</v>
      </c>
      <c r="D15" s="373"/>
      <c r="E15" s="158">
        <v>1</v>
      </c>
      <c r="F15" s="158">
        <v>1</v>
      </c>
      <c r="G15" s="164">
        <v>0.2</v>
      </c>
      <c r="H15" s="159">
        <f t="shared" si="1"/>
        <v>0.2</v>
      </c>
      <c r="I15" s="361"/>
      <c r="J15" s="361"/>
      <c r="K15" s="357"/>
      <c r="M15" s="220">
        <v>14</v>
      </c>
      <c r="N15" s="223">
        <f>I67</f>
        <v>2401627319</v>
      </c>
      <c r="O15" s="223">
        <f>J67</f>
        <v>1550602692</v>
      </c>
      <c r="P15" s="222">
        <f t="shared" si="0"/>
        <v>0.6456466745413467</v>
      </c>
    </row>
    <row r="16" spans="1:16" ht="36">
      <c r="A16" s="360"/>
      <c r="B16" s="160" t="s">
        <v>274</v>
      </c>
      <c r="C16" s="158">
        <v>3</v>
      </c>
      <c r="D16" s="373"/>
      <c r="E16" s="158">
        <v>0</v>
      </c>
      <c r="F16" s="158">
        <v>1</v>
      </c>
      <c r="G16" s="164">
        <v>0.8</v>
      </c>
      <c r="H16" s="159">
        <f t="shared" si="1"/>
        <v>0.8</v>
      </c>
      <c r="I16" s="361"/>
      <c r="J16" s="361"/>
      <c r="K16" s="357"/>
      <c r="M16" s="220">
        <v>15</v>
      </c>
      <c r="N16" s="223">
        <f>I79</f>
        <v>42300000</v>
      </c>
      <c r="O16" s="223">
        <f>J79</f>
        <v>39800000</v>
      </c>
      <c r="P16" s="222">
        <f t="shared" si="0"/>
        <v>0.9408983451536643</v>
      </c>
    </row>
    <row r="17" spans="1:16" ht="36">
      <c r="A17" s="360"/>
      <c r="B17" s="160" t="s">
        <v>275</v>
      </c>
      <c r="C17" s="199">
        <v>4</v>
      </c>
      <c r="D17" s="374"/>
      <c r="E17" s="158">
        <v>0</v>
      </c>
      <c r="F17" s="158">
        <v>1</v>
      </c>
      <c r="G17" s="164">
        <v>1</v>
      </c>
      <c r="H17" s="159">
        <f t="shared" si="1"/>
        <v>1</v>
      </c>
      <c r="I17" s="361"/>
      <c r="J17" s="361"/>
      <c r="K17" s="357"/>
      <c r="M17" s="220">
        <v>16</v>
      </c>
      <c r="N17" s="223">
        <f>I80</f>
        <v>695900000</v>
      </c>
      <c r="O17" s="223">
        <f>J80</f>
        <v>594990000</v>
      </c>
      <c r="P17" s="222">
        <f t="shared" si="0"/>
        <v>0.8549935335536715</v>
      </c>
    </row>
    <row r="18" spans="1:16" ht="48">
      <c r="A18" s="362" t="s">
        <v>105</v>
      </c>
      <c r="B18" s="160" t="s">
        <v>292</v>
      </c>
      <c r="C18" s="158">
        <v>1</v>
      </c>
      <c r="D18" s="372">
        <f>SUM(H18:H19)/2</f>
        <v>0.65</v>
      </c>
      <c r="E18" s="158">
        <v>0</v>
      </c>
      <c r="F18" s="158">
        <v>5</v>
      </c>
      <c r="G18" s="164">
        <v>4</v>
      </c>
      <c r="H18" s="159">
        <f t="shared" si="1"/>
        <v>0.8</v>
      </c>
      <c r="I18" s="365">
        <v>911200000</v>
      </c>
      <c r="J18" s="365">
        <v>889950000</v>
      </c>
      <c r="K18" s="368">
        <f>J18/I18</f>
        <v>0.976679104477612</v>
      </c>
      <c r="M18" s="220">
        <v>17</v>
      </c>
      <c r="N18" s="223">
        <f>I99</f>
        <v>290647294</v>
      </c>
      <c r="O18" s="223">
        <f>J99</f>
        <v>91457000</v>
      </c>
      <c r="P18" s="222">
        <f t="shared" si="0"/>
        <v>0.31466661444300253</v>
      </c>
    </row>
    <row r="19" spans="1:16" ht="48">
      <c r="A19" s="364"/>
      <c r="B19" s="160" t="s">
        <v>293</v>
      </c>
      <c r="C19" s="199">
        <v>2</v>
      </c>
      <c r="D19" s="374"/>
      <c r="E19" s="158">
        <v>0</v>
      </c>
      <c r="F19" s="158">
        <v>1</v>
      </c>
      <c r="G19" s="164">
        <v>0.5</v>
      </c>
      <c r="H19" s="159">
        <f t="shared" si="1"/>
        <v>0.5</v>
      </c>
      <c r="I19" s="367"/>
      <c r="J19" s="367"/>
      <c r="K19" s="370"/>
      <c r="M19" s="220">
        <v>18</v>
      </c>
      <c r="N19" s="223">
        <f>I103</f>
        <v>690086193</v>
      </c>
      <c r="O19" s="223">
        <f>J103</f>
        <v>550295516</v>
      </c>
      <c r="P19" s="222">
        <f t="shared" si="0"/>
        <v>0.79743012044294</v>
      </c>
    </row>
    <row r="20" spans="1:16" ht="48">
      <c r="A20" s="360" t="s">
        <v>106</v>
      </c>
      <c r="B20" s="160" t="s">
        <v>229</v>
      </c>
      <c r="C20" s="158">
        <v>1</v>
      </c>
      <c r="D20" s="372">
        <f>SUM(H20:H21)/2</f>
        <v>0.6166666666666667</v>
      </c>
      <c r="E20" s="158">
        <v>1</v>
      </c>
      <c r="F20" s="158">
        <v>1</v>
      </c>
      <c r="G20" s="164">
        <v>0.9</v>
      </c>
      <c r="H20" s="159">
        <f t="shared" si="1"/>
        <v>0.9</v>
      </c>
      <c r="I20" s="361">
        <f>28800000+16050000</f>
        <v>44850000</v>
      </c>
      <c r="J20" s="361">
        <f>28800000+16050000</f>
        <v>44850000</v>
      </c>
      <c r="K20" s="357">
        <f>J20/I20</f>
        <v>1</v>
      </c>
      <c r="M20" s="220">
        <v>19</v>
      </c>
      <c r="N20" s="223">
        <f>I118</f>
        <v>188950000</v>
      </c>
      <c r="O20" s="223">
        <f>J118</f>
        <v>188950000</v>
      </c>
      <c r="P20" s="222">
        <f t="shared" si="0"/>
        <v>1</v>
      </c>
    </row>
    <row r="21" spans="1:16" ht="36">
      <c r="A21" s="360"/>
      <c r="B21" s="160" t="s">
        <v>294</v>
      </c>
      <c r="C21" s="199">
        <v>2</v>
      </c>
      <c r="D21" s="374"/>
      <c r="E21" s="158">
        <v>0</v>
      </c>
      <c r="F21" s="158">
        <v>30</v>
      </c>
      <c r="G21" s="164">
        <v>10</v>
      </c>
      <c r="H21" s="159">
        <f t="shared" si="1"/>
        <v>0.3333333333333333</v>
      </c>
      <c r="I21" s="361"/>
      <c r="J21" s="361"/>
      <c r="K21" s="357"/>
      <c r="M21" s="220">
        <v>20</v>
      </c>
      <c r="N21" s="223">
        <f>I127</f>
        <v>50700000</v>
      </c>
      <c r="O21" s="223">
        <f>J127</f>
        <v>49050000</v>
      </c>
      <c r="P21" s="222">
        <f t="shared" si="0"/>
        <v>0.9674556213017751</v>
      </c>
    </row>
    <row r="22" spans="1:11" ht="60">
      <c r="A22" s="378" t="s">
        <v>107</v>
      </c>
      <c r="B22" s="160" t="s">
        <v>295</v>
      </c>
      <c r="C22" s="158">
        <v>1</v>
      </c>
      <c r="D22" s="372">
        <f>SUM(H22:H23)/2</f>
        <v>1</v>
      </c>
      <c r="E22" s="158">
        <v>0</v>
      </c>
      <c r="F22" s="158">
        <v>11</v>
      </c>
      <c r="G22" s="164">
        <v>11</v>
      </c>
      <c r="H22" s="159">
        <f t="shared" si="1"/>
        <v>1</v>
      </c>
      <c r="I22" s="168">
        <v>30000000</v>
      </c>
      <c r="J22" s="168">
        <v>30000000</v>
      </c>
      <c r="K22" s="163">
        <f>J22/I22</f>
        <v>1</v>
      </c>
    </row>
    <row r="23" spans="1:11" ht="108">
      <c r="A23" s="360"/>
      <c r="B23" s="160" t="s">
        <v>296</v>
      </c>
      <c r="C23" s="199">
        <v>2</v>
      </c>
      <c r="D23" s="374"/>
      <c r="E23" s="158">
        <v>0</v>
      </c>
      <c r="F23" s="158">
        <v>2</v>
      </c>
      <c r="G23" s="164">
        <v>2</v>
      </c>
      <c r="H23" s="159">
        <f t="shared" si="1"/>
        <v>1</v>
      </c>
      <c r="I23" s="168">
        <f>30000000+40000000</f>
        <v>70000000</v>
      </c>
      <c r="J23" s="168">
        <f>30000000+40000000</f>
        <v>70000000</v>
      </c>
      <c r="K23" s="163">
        <f>J23/I23</f>
        <v>1</v>
      </c>
    </row>
    <row r="24" spans="1:11" ht="36">
      <c r="A24" s="360" t="s">
        <v>108</v>
      </c>
      <c r="B24" s="160" t="s">
        <v>141</v>
      </c>
      <c r="C24" s="158">
        <v>1</v>
      </c>
      <c r="D24" s="372">
        <f>SUM(H24:H27)/4</f>
        <v>0.9666666666666667</v>
      </c>
      <c r="E24" s="158">
        <v>152</v>
      </c>
      <c r="F24" s="158">
        <v>30</v>
      </c>
      <c r="G24" s="164">
        <v>26</v>
      </c>
      <c r="H24" s="159">
        <f t="shared" si="1"/>
        <v>0.8666666666666667</v>
      </c>
      <c r="I24" s="361">
        <f>30000000+33300000</f>
        <v>63300000</v>
      </c>
      <c r="J24" s="361">
        <f>30000000+30300000</f>
        <v>60300000</v>
      </c>
      <c r="K24" s="357">
        <f>J24/I24</f>
        <v>0.95260663507109</v>
      </c>
    </row>
    <row r="25" spans="1:11" ht="48">
      <c r="A25" s="360"/>
      <c r="B25" s="160" t="s">
        <v>230</v>
      </c>
      <c r="C25" s="158">
        <v>2</v>
      </c>
      <c r="D25" s="373"/>
      <c r="E25" s="158">
        <v>0</v>
      </c>
      <c r="F25" s="158">
        <v>11</v>
      </c>
      <c r="G25" s="164">
        <v>11</v>
      </c>
      <c r="H25" s="159">
        <f t="shared" si="1"/>
        <v>1</v>
      </c>
      <c r="I25" s="361"/>
      <c r="J25" s="361"/>
      <c r="K25" s="357"/>
    </row>
    <row r="26" spans="1:11" ht="24">
      <c r="A26" s="360"/>
      <c r="B26" s="160" t="s">
        <v>142</v>
      </c>
      <c r="C26" s="158">
        <v>3</v>
      </c>
      <c r="D26" s="373"/>
      <c r="E26" s="158">
        <v>5</v>
      </c>
      <c r="F26" s="158">
        <v>2</v>
      </c>
      <c r="G26" s="164">
        <v>2</v>
      </c>
      <c r="H26" s="159">
        <f t="shared" si="1"/>
        <v>1</v>
      </c>
      <c r="I26" s="361">
        <v>29100000</v>
      </c>
      <c r="J26" s="361">
        <v>29100000</v>
      </c>
      <c r="K26" s="357">
        <f>J26/I26</f>
        <v>1</v>
      </c>
    </row>
    <row r="27" spans="1:11" ht="36">
      <c r="A27" s="360"/>
      <c r="B27" s="160" t="s">
        <v>143</v>
      </c>
      <c r="C27" s="199">
        <v>4</v>
      </c>
      <c r="D27" s="374"/>
      <c r="E27" s="158">
        <v>0</v>
      </c>
      <c r="F27" s="158">
        <v>3</v>
      </c>
      <c r="G27" s="164">
        <v>3</v>
      </c>
      <c r="H27" s="159">
        <f t="shared" si="1"/>
        <v>1</v>
      </c>
      <c r="I27" s="361"/>
      <c r="J27" s="361"/>
      <c r="K27" s="357"/>
    </row>
    <row r="28" spans="1:11" ht="84">
      <c r="A28" s="360" t="s">
        <v>146</v>
      </c>
      <c r="B28" s="160" t="s">
        <v>219</v>
      </c>
      <c r="C28" s="158">
        <v>1</v>
      </c>
      <c r="D28" s="372">
        <f>SUM(H28:H30)/3</f>
        <v>0.6</v>
      </c>
      <c r="E28" s="158">
        <v>52</v>
      </c>
      <c r="F28" s="158">
        <v>20</v>
      </c>
      <c r="G28" s="164">
        <v>12</v>
      </c>
      <c r="H28" s="159">
        <f t="shared" si="1"/>
        <v>0.6</v>
      </c>
      <c r="I28" s="361">
        <f>30600000+18600000</f>
        <v>49200000</v>
      </c>
      <c r="J28" s="361">
        <f>30600000+16950000</f>
        <v>47550000</v>
      </c>
      <c r="K28" s="357">
        <f>J28/I28</f>
        <v>0.9664634146341463</v>
      </c>
    </row>
    <row r="29" spans="1:11" ht="36">
      <c r="A29" s="360"/>
      <c r="B29" s="160" t="s">
        <v>220</v>
      </c>
      <c r="C29" s="158">
        <v>2</v>
      </c>
      <c r="D29" s="373"/>
      <c r="E29" s="158">
        <v>0</v>
      </c>
      <c r="F29" s="158">
        <v>5</v>
      </c>
      <c r="G29" s="164">
        <v>1</v>
      </c>
      <c r="H29" s="159">
        <f t="shared" si="1"/>
        <v>0.2</v>
      </c>
      <c r="I29" s="361"/>
      <c r="J29" s="361"/>
      <c r="K29" s="357"/>
    </row>
    <row r="30" spans="1:11" ht="72">
      <c r="A30" s="360"/>
      <c r="B30" s="160" t="s">
        <v>231</v>
      </c>
      <c r="C30" s="199">
        <v>3</v>
      </c>
      <c r="D30" s="374"/>
      <c r="E30" s="158">
        <v>1</v>
      </c>
      <c r="F30" s="158">
        <v>5</v>
      </c>
      <c r="G30" s="164">
        <v>5</v>
      </c>
      <c r="H30" s="159">
        <f t="shared" si="1"/>
        <v>1</v>
      </c>
      <c r="I30" s="361"/>
      <c r="J30" s="361"/>
      <c r="K30" s="357"/>
    </row>
    <row r="31" spans="1:11" ht="84">
      <c r="A31" s="362" t="s">
        <v>109</v>
      </c>
      <c r="B31" s="160" t="s">
        <v>119</v>
      </c>
      <c r="C31" s="158">
        <v>1</v>
      </c>
      <c r="D31" s="392">
        <f>SUM(H31:H39)/9</f>
        <v>0.7755555555555556</v>
      </c>
      <c r="E31" s="163">
        <v>1</v>
      </c>
      <c r="F31" s="163">
        <v>1</v>
      </c>
      <c r="G31" s="172">
        <v>0.98</v>
      </c>
      <c r="H31" s="159">
        <f t="shared" si="1"/>
        <v>0.98</v>
      </c>
      <c r="I31" s="375">
        <f>442057720+607993000+400000000+140000000+1009100000</f>
        <v>2599150720</v>
      </c>
      <c r="J31" s="375">
        <f>393997566.95+598200000+933149993.67</f>
        <v>1925347560.62</v>
      </c>
      <c r="K31" s="368">
        <f>J31/I31</f>
        <v>0.7407602590356899</v>
      </c>
    </row>
    <row r="32" spans="1:11" ht="36">
      <c r="A32" s="363"/>
      <c r="B32" s="173" t="s">
        <v>297</v>
      </c>
      <c r="C32" s="201">
        <v>2</v>
      </c>
      <c r="D32" s="393"/>
      <c r="E32" s="163">
        <v>1</v>
      </c>
      <c r="F32" s="163">
        <v>1</v>
      </c>
      <c r="G32" s="172">
        <v>0.9</v>
      </c>
      <c r="H32" s="159">
        <f t="shared" si="1"/>
        <v>0.9</v>
      </c>
      <c r="I32" s="376"/>
      <c r="J32" s="376"/>
      <c r="K32" s="369"/>
    </row>
    <row r="33" spans="1:11" ht="72">
      <c r="A33" s="363"/>
      <c r="B33" s="160" t="s">
        <v>147</v>
      </c>
      <c r="C33" s="158">
        <v>3</v>
      </c>
      <c r="D33" s="393"/>
      <c r="E33" s="163">
        <v>1</v>
      </c>
      <c r="F33" s="163">
        <v>1</v>
      </c>
      <c r="G33" s="172">
        <v>1</v>
      </c>
      <c r="H33" s="159">
        <f t="shared" si="1"/>
        <v>1</v>
      </c>
      <c r="I33" s="376"/>
      <c r="J33" s="376"/>
      <c r="K33" s="369"/>
    </row>
    <row r="34" spans="1:11" ht="72">
      <c r="A34" s="363"/>
      <c r="B34" s="160" t="s">
        <v>163</v>
      </c>
      <c r="C34" s="158">
        <v>4</v>
      </c>
      <c r="D34" s="393"/>
      <c r="E34" s="163">
        <v>1</v>
      </c>
      <c r="F34" s="163">
        <v>1</v>
      </c>
      <c r="G34" s="172">
        <v>0.7</v>
      </c>
      <c r="H34" s="159">
        <f t="shared" si="1"/>
        <v>0.7</v>
      </c>
      <c r="I34" s="376"/>
      <c r="J34" s="376"/>
      <c r="K34" s="369"/>
    </row>
    <row r="35" spans="1:11" ht="96">
      <c r="A35" s="363"/>
      <c r="B35" s="160" t="s">
        <v>120</v>
      </c>
      <c r="C35" s="158">
        <v>5</v>
      </c>
      <c r="D35" s="393"/>
      <c r="E35" s="158">
        <v>0</v>
      </c>
      <c r="F35" s="158">
        <v>4</v>
      </c>
      <c r="G35" s="164">
        <v>1</v>
      </c>
      <c r="H35" s="159">
        <f t="shared" si="1"/>
        <v>0.25</v>
      </c>
      <c r="I35" s="376"/>
      <c r="J35" s="376"/>
      <c r="K35" s="369"/>
    </row>
    <row r="36" spans="1:11" ht="36">
      <c r="A36" s="363"/>
      <c r="B36" s="160" t="s">
        <v>148</v>
      </c>
      <c r="C36" s="158">
        <v>6</v>
      </c>
      <c r="D36" s="393"/>
      <c r="E36" s="163">
        <v>1</v>
      </c>
      <c r="F36" s="163">
        <v>1</v>
      </c>
      <c r="G36" s="172">
        <v>1</v>
      </c>
      <c r="H36" s="159">
        <f t="shared" si="1"/>
        <v>1</v>
      </c>
      <c r="I36" s="376"/>
      <c r="J36" s="376"/>
      <c r="K36" s="369"/>
    </row>
    <row r="37" spans="1:11" ht="84">
      <c r="A37" s="363"/>
      <c r="B37" s="160" t="s">
        <v>232</v>
      </c>
      <c r="C37" s="158">
        <v>7</v>
      </c>
      <c r="D37" s="393"/>
      <c r="E37" s="163">
        <v>1</v>
      </c>
      <c r="F37" s="163">
        <v>1</v>
      </c>
      <c r="G37" s="172">
        <v>0.75</v>
      </c>
      <c r="H37" s="159">
        <f t="shared" si="1"/>
        <v>0.75</v>
      </c>
      <c r="I37" s="376"/>
      <c r="J37" s="376"/>
      <c r="K37" s="369"/>
    </row>
    <row r="38" spans="1:11" ht="36">
      <c r="A38" s="363"/>
      <c r="B38" s="160" t="s">
        <v>313</v>
      </c>
      <c r="C38" s="158">
        <v>8</v>
      </c>
      <c r="D38" s="393"/>
      <c r="E38" s="174">
        <v>0</v>
      </c>
      <c r="F38" s="163">
        <v>0.05</v>
      </c>
      <c r="G38" s="172">
        <v>0.02</v>
      </c>
      <c r="H38" s="159">
        <f t="shared" si="1"/>
        <v>0.39999999999999997</v>
      </c>
      <c r="I38" s="376"/>
      <c r="J38" s="376"/>
      <c r="K38" s="369"/>
    </row>
    <row r="39" spans="1:11" ht="84">
      <c r="A39" s="364"/>
      <c r="B39" s="175" t="s">
        <v>312</v>
      </c>
      <c r="C39" s="202">
        <v>9</v>
      </c>
      <c r="D39" s="394"/>
      <c r="E39" s="174">
        <v>0</v>
      </c>
      <c r="F39" s="163">
        <v>1</v>
      </c>
      <c r="G39" s="172">
        <v>1</v>
      </c>
      <c r="H39" s="159">
        <f t="shared" si="1"/>
        <v>1</v>
      </c>
      <c r="I39" s="377"/>
      <c r="J39" s="377"/>
      <c r="K39" s="370"/>
    </row>
    <row r="40" spans="1:11" ht="36">
      <c r="A40" s="362" t="s">
        <v>110</v>
      </c>
      <c r="B40" s="160" t="s">
        <v>122</v>
      </c>
      <c r="C40" s="158">
        <v>1</v>
      </c>
      <c r="D40" s="372">
        <f>SUM(H40:H48)/9</f>
        <v>0.528888888888889</v>
      </c>
      <c r="E40" s="161">
        <v>0.7</v>
      </c>
      <c r="F40" s="161">
        <v>0.3</v>
      </c>
      <c r="G40" s="176">
        <v>0.27</v>
      </c>
      <c r="H40" s="159">
        <f t="shared" si="1"/>
        <v>0.9000000000000001</v>
      </c>
      <c r="I40" s="365">
        <f>57000000+12000000</f>
        <v>69000000</v>
      </c>
      <c r="J40" s="365">
        <f>57000000+12000000</f>
        <v>69000000</v>
      </c>
      <c r="K40" s="368">
        <f>J40/I40</f>
        <v>1</v>
      </c>
    </row>
    <row r="41" spans="1:11" ht="60">
      <c r="A41" s="363"/>
      <c r="B41" s="160" t="s">
        <v>123</v>
      </c>
      <c r="C41" s="158">
        <v>2</v>
      </c>
      <c r="D41" s="373"/>
      <c r="E41" s="161">
        <v>1</v>
      </c>
      <c r="F41" s="161">
        <v>1</v>
      </c>
      <c r="G41" s="162">
        <v>0.5</v>
      </c>
      <c r="H41" s="159">
        <f t="shared" si="1"/>
        <v>0.5</v>
      </c>
      <c r="I41" s="366"/>
      <c r="J41" s="366"/>
      <c r="K41" s="369"/>
    </row>
    <row r="42" spans="1:11" ht="72">
      <c r="A42" s="363"/>
      <c r="B42" s="160" t="s">
        <v>124</v>
      </c>
      <c r="C42" s="158">
        <v>3</v>
      </c>
      <c r="D42" s="373"/>
      <c r="E42" s="161">
        <v>0.5</v>
      </c>
      <c r="F42" s="161">
        <v>0.5</v>
      </c>
      <c r="G42" s="162">
        <v>0.18</v>
      </c>
      <c r="H42" s="159">
        <f t="shared" si="1"/>
        <v>0.36</v>
      </c>
      <c r="I42" s="366"/>
      <c r="J42" s="366"/>
      <c r="K42" s="369"/>
    </row>
    <row r="43" spans="1:11" ht="93.75" customHeight="1">
      <c r="A43" s="363"/>
      <c r="B43" s="160" t="s">
        <v>125</v>
      </c>
      <c r="C43" s="158">
        <v>4</v>
      </c>
      <c r="D43" s="373"/>
      <c r="E43" s="161">
        <v>1</v>
      </c>
      <c r="F43" s="161">
        <v>1</v>
      </c>
      <c r="G43" s="162">
        <v>0.8</v>
      </c>
      <c r="H43" s="159">
        <f t="shared" si="1"/>
        <v>0.8</v>
      </c>
      <c r="I43" s="366"/>
      <c r="J43" s="366"/>
      <c r="K43" s="369"/>
    </row>
    <row r="44" spans="1:11" ht="66.75" customHeight="1">
      <c r="A44" s="363"/>
      <c r="B44" s="160" t="s">
        <v>126</v>
      </c>
      <c r="C44" s="158">
        <v>5</v>
      </c>
      <c r="D44" s="373"/>
      <c r="E44" s="161">
        <v>0</v>
      </c>
      <c r="F44" s="161">
        <v>0.15</v>
      </c>
      <c r="G44" s="162">
        <v>0.03</v>
      </c>
      <c r="H44" s="159">
        <f t="shared" si="1"/>
        <v>0.2</v>
      </c>
      <c r="I44" s="366"/>
      <c r="J44" s="366"/>
      <c r="K44" s="369"/>
    </row>
    <row r="45" spans="1:11" ht="96">
      <c r="A45" s="363"/>
      <c r="B45" s="160" t="s">
        <v>149</v>
      </c>
      <c r="C45" s="158">
        <v>6</v>
      </c>
      <c r="D45" s="373"/>
      <c r="E45" s="161">
        <v>0</v>
      </c>
      <c r="F45" s="161">
        <v>1</v>
      </c>
      <c r="G45" s="162">
        <v>0.8</v>
      </c>
      <c r="H45" s="159">
        <f t="shared" si="1"/>
        <v>0.8</v>
      </c>
      <c r="I45" s="366"/>
      <c r="J45" s="366"/>
      <c r="K45" s="369"/>
    </row>
    <row r="46" spans="1:11" ht="60">
      <c r="A46" s="363"/>
      <c r="B46" s="160" t="s">
        <v>164</v>
      </c>
      <c r="C46" s="158">
        <v>7</v>
      </c>
      <c r="D46" s="373"/>
      <c r="E46" s="161">
        <v>0.8</v>
      </c>
      <c r="F46" s="161">
        <v>0.2</v>
      </c>
      <c r="G46" s="162">
        <v>0.14</v>
      </c>
      <c r="H46" s="159">
        <f t="shared" si="1"/>
        <v>0.7000000000000001</v>
      </c>
      <c r="I46" s="366"/>
      <c r="J46" s="366"/>
      <c r="K46" s="369"/>
    </row>
    <row r="47" spans="1:11" ht="36">
      <c r="A47" s="363"/>
      <c r="B47" s="160" t="s">
        <v>282</v>
      </c>
      <c r="C47" s="158">
        <v>8</v>
      </c>
      <c r="D47" s="373"/>
      <c r="E47" s="177">
        <v>0</v>
      </c>
      <c r="F47" s="177">
        <v>1</v>
      </c>
      <c r="G47" s="178">
        <v>0.5</v>
      </c>
      <c r="H47" s="159">
        <f t="shared" si="1"/>
        <v>0.5</v>
      </c>
      <c r="I47" s="366"/>
      <c r="J47" s="366"/>
      <c r="K47" s="369"/>
    </row>
    <row r="48" spans="1:11" ht="48">
      <c r="A48" s="364"/>
      <c r="B48" s="160" t="s">
        <v>283</v>
      </c>
      <c r="C48" s="199">
        <v>9</v>
      </c>
      <c r="D48" s="374"/>
      <c r="E48" s="177">
        <v>0</v>
      </c>
      <c r="F48" s="177">
        <v>1</v>
      </c>
      <c r="G48" s="179">
        <v>0</v>
      </c>
      <c r="H48" s="159">
        <f t="shared" si="1"/>
        <v>0</v>
      </c>
      <c r="I48" s="367"/>
      <c r="J48" s="367"/>
      <c r="K48" s="370"/>
    </row>
    <row r="49" spans="1:11" ht="60">
      <c r="A49" s="360" t="s">
        <v>111</v>
      </c>
      <c r="B49" s="160" t="s">
        <v>233</v>
      </c>
      <c r="C49" s="158">
        <v>1</v>
      </c>
      <c r="D49" s="372">
        <f>SUM(H49:H53)/5</f>
        <v>0.488</v>
      </c>
      <c r="E49" s="161">
        <v>0</v>
      </c>
      <c r="F49" s="161">
        <v>0.5</v>
      </c>
      <c r="G49" s="162">
        <v>0.25</v>
      </c>
      <c r="H49" s="159">
        <f t="shared" si="1"/>
        <v>0.5</v>
      </c>
      <c r="I49" s="361">
        <v>0</v>
      </c>
      <c r="J49" s="361">
        <v>0</v>
      </c>
      <c r="K49" s="371">
        <v>0</v>
      </c>
    </row>
    <row r="50" spans="1:11" ht="105" customHeight="1">
      <c r="A50" s="360"/>
      <c r="B50" s="160" t="s">
        <v>234</v>
      </c>
      <c r="C50" s="158">
        <v>2</v>
      </c>
      <c r="D50" s="373"/>
      <c r="E50" s="158">
        <v>0</v>
      </c>
      <c r="F50" s="161">
        <v>0.5</v>
      </c>
      <c r="G50" s="162">
        <v>0.07</v>
      </c>
      <c r="H50" s="159">
        <f t="shared" si="1"/>
        <v>0.14</v>
      </c>
      <c r="I50" s="361"/>
      <c r="J50" s="361"/>
      <c r="K50" s="371"/>
    </row>
    <row r="51" spans="1:11" ht="62.25" customHeight="1">
      <c r="A51" s="360"/>
      <c r="B51" s="160" t="s">
        <v>235</v>
      </c>
      <c r="C51" s="158">
        <v>3</v>
      </c>
      <c r="D51" s="373"/>
      <c r="E51" s="158">
        <v>0</v>
      </c>
      <c r="F51" s="161">
        <v>0.3</v>
      </c>
      <c r="G51" s="162">
        <v>0.15</v>
      </c>
      <c r="H51" s="159">
        <f t="shared" si="1"/>
        <v>0.5</v>
      </c>
      <c r="I51" s="361"/>
      <c r="J51" s="361"/>
      <c r="K51" s="371"/>
    </row>
    <row r="52" spans="1:11" ht="85.5" customHeight="1">
      <c r="A52" s="360"/>
      <c r="B52" s="160" t="s">
        <v>236</v>
      </c>
      <c r="C52" s="158">
        <v>4</v>
      </c>
      <c r="D52" s="373"/>
      <c r="E52" s="158">
        <v>0</v>
      </c>
      <c r="F52" s="161">
        <v>1</v>
      </c>
      <c r="G52" s="162">
        <v>1</v>
      </c>
      <c r="H52" s="159">
        <f t="shared" si="1"/>
        <v>1</v>
      </c>
      <c r="I52" s="361"/>
      <c r="J52" s="361"/>
      <c r="K52" s="371"/>
    </row>
    <row r="53" spans="1:11" ht="51.75" customHeight="1">
      <c r="A53" s="360"/>
      <c r="B53" s="160" t="s">
        <v>298</v>
      </c>
      <c r="C53" s="199">
        <v>5</v>
      </c>
      <c r="D53" s="374"/>
      <c r="E53" s="158">
        <v>0</v>
      </c>
      <c r="F53" s="161">
        <v>0.05</v>
      </c>
      <c r="G53" s="162">
        <v>0.015</v>
      </c>
      <c r="H53" s="159">
        <f t="shared" si="1"/>
        <v>0.3</v>
      </c>
      <c r="I53" s="361"/>
      <c r="J53" s="361"/>
      <c r="K53" s="371"/>
    </row>
    <row r="54" spans="1:11" ht="156">
      <c r="A54" s="360" t="s">
        <v>221</v>
      </c>
      <c r="B54" s="160" t="s">
        <v>222</v>
      </c>
      <c r="C54" s="158">
        <v>1</v>
      </c>
      <c r="D54" s="372">
        <f>SUM(H54:H55)/2</f>
        <v>1</v>
      </c>
      <c r="E54" s="161">
        <v>0</v>
      </c>
      <c r="F54" s="161">
        <v>1</v>
      </c>
      <c r="G54" s="162">
        <v>1</v>
      </c>
      <c r="H54" s="159">
        <f t="shared" si="1"/>
        <v>1</v>
      </c>
      <c r="I54" s="361">
        <v>0</v>
      </c>
      <c r="J54" s="361">
        <v>0</v>
      </c>
      <c r="K54" s="371">
        <v>0</v>
      </c>
    </row>
    <row r="55" spans="1:11" ht="90" customHeight="1">
      <c r="A55" s="360"/>
      <c r="B55" s="160" t="s">
        <v>237</v>
      </c>
      <c r="C55" s="199">
        <v>2</v>
      </c>
      <c r="D55" s="374"/>
      <c r="E55" s="161">
        <v>0</v>
      </c>
      <c r="F55" s="161">
        <v>1</v>
      </c>
      <c r="G55" s="162">
        <v>1</v>
      </c>
      <c r="H55" s="159">
        <f t="shared" si="1"/>
        <v>1</v>
      </c>
      <c r="I55" s="361"/>
      <c r="J55" s="361"/>
      <c r="K55" s="371"/>
    </row>
    <row r="56" spans="1:11" ht="126.75" customHeight="1">
      <c r="A56" s="360" t="s">
        <v>150</v>
      </c>
      <c r="B56" s="160" t="s">
        <v>238</v>
      </c>
      <c r="C56" s="158">
        <v>1</v>
      </c>
      <c r="D56" s="372">
        <f>SUM(H56:H66)/11</f>
        <v>0.3781818181818182</v>
      </c>
      <c r="E56" s="161">
        <v>0</v>
      </c>
      <c r="F56" s="161">
        <v>1</v>
      </c>
      <c r="G56" s="162">
        <v>0.61</v>
      </c>
      <c r="H56" s="159">
        <f t="shared" si="1"/>
        <v>0.61</v>
      </c>
      <c r="I56" s="361">
        <v>0</v>
      </c>
      <c r="J56" s="361">
        <v>0</v>
      </c>
      <c r="K56" s="371">
        <v>0</v>
      </c>
    </row>
    <row r="57" spans="1:11" ht="96">
      <c r="A57" s="360"/>
      <c r="B57" s="160" t="s">
        <v>239</v>
      </c>
      <c r="C57" s="158">
        <v>2</v>
      </c>
      <c r="D57" s="373"/>
      <c r="E57" s="161">
        <v>0</v>
      </c>
      <c r="F57" s="161">
        <v>1</v>
      </c>
      <c r="G57" s="162">
        <v>0.45</v>
      </c>
      <c r="H57" s="159">
        <f t="shared" si="1"/>
        <v>0.45</v>
      </c>
      <c r="I57" s="361"/>
      <c r="J57" s="361"/>
      <c r="K57" s="371"/>
    </row>
    <row r="58" spans="1:11" ht="64.5" customHeight="1">
      <c r="A58" s="360"/>
      <c r="B58" s="160" t="s">
        <v>240</v>
      </c>
      <c r="C58" s="158">
        <v>3</v>
      </c>
      <c r="D58" s="373"/>
      <c r="E58" s="161">
        <v>0</v>
      </c>
      <c r="F58" s="161">
        <v>1</v>
      </c>
      <c r="G58" s="162">
        <v>0.5</v>
      </c>
      <c r="H58" s="159">
        <f t="shared" si="1"/>
        <v>0.5</v>
      </c>
      <c r="I58" s="361"/>
      <c r="J58" s="361"/>
      <c r="K58" s="371"/>
    </row>
    <row r="59" spans="1:11" ht="76.5" customHeight="1">
      <c r="A59" s="360"/>
      <c r="B59" s="160" t="s">
        <v>241</v>
      </c>
      <c r="C59" s="158">
        <v>4</v>
      </c>
      <c r="D59" s="373"/>
      <c r="E59" s="161">
        <v>0</v>
      </c>
      <c r="F59" s="161">
        <v>1</v>
      </c>
      <c r="G59" s="162">
        <v>0.5</v>
      </c>
      <c r="H59" s="159">
        <f t="shared" si="1"/>
        <v>0.5</v>
      </c>
      <c r="I59" s="361"/>
      <c r="J59" s="361"/>
      <c r="K59" s="371"/>
    </row>
    <row r="60" spans="1:11" ht="72">
      <c r="A60" s="360"/>
      <c r="B60" s="160" t="s">
        <v>242</v>
      </c>
      <c r="C60" s="158">
        <v>5</v>
      </c>
      <c r="D60" s="373"/>
      <c r="E60" s="161">
        <v>0</v>
      </c>
      <c r="F60" s="161">
        <v>1</v>
      </c>
      <c r="G60" s="162">
        <v>0.2</v>
      </c>
      <c r="H60" s="159">
        <f t="shared" si="1"/>
        <v>0.2</v>
      </c>
      <c r="I60" s="361"/>
      <c r="J60" s="361"/>
      <c r="K60" s="371"/>
    </row>
    <row r="61" spans="1:11" ht="72">
      <c r="A61" s="360"/>
      <c r="B61" s="160" t="s">
        <v>243</v>
      </c>
      <c r="C61" s="158">
        <v>6</v>
      </c>
      <c r="D61" s="373"/>
      <c r="E61" s="161">
        <v>0</v>
      </c>
      <c r="F61" s="161">
        <v>1</v>
      </c>
      <c r="G61" s="162">
        <v>0.2</v>
      </c>
      <c r="H61" s="159">
        <f t="shared" si="1"/>
        <v>0.2</v>
      </c>
      <c r="I61" s="361"/>
      <c r="J61" s="361"/>
      <c r="K61" s="371"/>
    </row>
    <row r="62" spans="1:11" ht="89.25" customHeight="1">
      <c r="A62" s="360"/>
      <c r="B62" s="160" t="s">
        <v>244</v>
      </c>
      <c r="C62" s="158">
        <v>7</v>
      </c>
      <c r="D62" s="373"/>
      <c r="E62" s="161">
        <v>0</v>
      </c>
      <c r="F62" s="161">
        <v>1</v>
      </c>
      <c r="G62" s="162">
        <v>0.3</v>
      </c>
      <c r="H62" s="159">
        <f t="shared" si="1"/>
        <v>0.3</v>
      </c>
      <c r="I62" s="361"/>
      <c r="J62" s="361"/>
      <c r="K62" s="371"/>
    </row>
    <row r="63" spans="1:11" ht="108">
      <c r="A63" s="360"/>
      <c r="B63" s="160" t="s">
        <v>245</v>
      </c>
      <c r="C63" s="158">
        <v>8</v>
      </c>
      <c r="D63" s="373"/>
      <c r="E63" s="161">
        <v>0</v>
      </c>
      <c r="F63" s="161">
        <v>1</v>
      </c>
      <c r="G63" s="162">
        <v>0.2</v>
      </c>
      <c r="H63" s="159">
        <f t="shared" si="1"/>
        <v>0.2</v>
      </c>
      <c r="I63" s="361"/>
      <c r="J63" s="361"/>
      <c r="K63" s="371"/>
    </row>
    <row r="64" spans="1:11" ht="72">
      <c r="A64" s="360"/>
      <c r="B64" s="160" t="s">
        <v>259</v>
      </c>
      <c r="C64" s="158">
        <v>9</v>
      </c>
      <c r="D64" s="373"/>
      <c r="E64" s="161">
        <v>0.1</v>
      </c>
      <c r="F64" s="161">
        <v>0.2</v>
      </c>
      <c r="G64" s="162">
        <v>0.14</v>
      </c>
      <c r="H64" s="159">
        <f t="shared" si="1"/>
        <v>0.7000000000000001</v>
      </c>
      <c r="I64" s="361"/>
      <c r="J64" s="361"/>
      <c r="K64" s="371"/>
    </row>
    <row r="65" spans="1:11" ht="60">
      <c r="A65" s="360"/>
      <c r="B65" s="160" t="s">
        <v>260</v>
      </c>
      <c r="C65" s="158">
        <v>10</v>
      </c>
      <c r="D65" s="373"/>
      <c r="E65" s="161">
        <v>0.1</v>
      </c>
      <c r="F65" s="161">
        <v>0.2</v>
      </c>
      <c r="G65" s="162">
        <v>0</v>
      </c>
      <c r="H65" s="159">
        <f t="shared" si="1"/>
        <v>0</v>
      </c>
      <c r="I65" s="361"/>
      <c r="J65" s="361"/>
      <c r="K65" s="371"/>
    </row>
    <row r="66" spans="1:11" ht="84">
      <c r="A66" s="360"/>
      <c r="B66" s="160" t="s">
        <v>261</v>
      </c>
      <c r="C66" s="199">
        <v>11</v>
      </c>
      <c r="D66" s="374"/>
      <c r="E66" s="161">
        <v>0.1</v>
      </c>
      <c r="F66" s="161">
        <v>1</v>
      </c>
      <c r="G66" s="162">
        <v>0.5</v>
      </c>
      <c r="H66" s="159">
        <f t="shared" si="1"/>
        <v>0.5</v>
      </c>
      <c r="I66" s="361"/>
      <c r="J66" s="361"/>
      <c r="K66" s="371"/>
    </row>
    <row r="67" spans="1:11" ht="12.75">
      <c r="A67" s="362" t="s">
        <v>112</v>
      </c>
      <c r="B67" s="160" t="s">
        <v>130</v>
      </c>
      <c r="C67" s="158">
        <v>1</v>
      </c>
      <c r="D67" s="372">
        <f>SUM(H67:H78)/12</f>
        <v>0.7222222222222223</v>
      </c>
      <c r="E67" s="161">
        <v>0.2</v>
      </c>
      <c r="F67" s="161">
        <v>0.6</v>
      </c>
      <c r="G67" s="162">
        <v>0.5</v>
      </c>
      <c r="H67" s="159">
        <f t="shared" si="1"/>
        <v>0.8333333333333334</v>
      </c>
      <c r="I67" s="365">
        <f>3000000+100000000+45100000+80477026+2173050293</f>
        <v>2401627319</v>
      </c>
      <c r="J67" s="365">
        <f>2600000+99000000+45050000+1403952692</f>
        <v>1550602692</v>
      </c>
      <c r="K67" s="368">
        <f>J67/I67</f>
        <v>0.6456466745413467</v>
      </c>
    </row>
    <row r="68" spans="1:11" ht="36">
      <c r="A68" s="363"/>
      <c r="B68" s="160" t="s">
        <v>153</v>
      </c>
      <c r="C68" s="158">
        <v>2</v>
      </c>
      <c r="D68" s="373"/>
      <c r="E68" s="161">
        <v>0.2</v>
      </c>
      <c r="F68" s="161">
        <v>0.4</v>
      </c>
      <c r="G68" s="162">
        <v>0.25</v>
      </c>
      <c r="H68" s="159">
        <f aca="true" t="shared" si="2" ref="H68:H127">G68/F68</f>
        <v>0.625</v>
      </c>
      <c r="I68" s="366"/>
      <c r="J68" s="366"/>
      <c r="K68" s="369"/>
    </row>
    <row r="69" spans="1:11" ht="60">
      <c r="A69" s="363"/>
      <c r="B69" s="160" t="s">
        <v>154</v>
      </c>
      <c r="C69" s="158">
        <v>3</v>
      </c>
      <c r="D69" s="373"/>
      <c r="E69" s="161">
        <v>0.2</v>
      </c>
      <c r="F69" s="161">
        <v>0.4</v>
      </c>
      <c r="G69" s="162">
        <v>0.25</v>
      </c>
      <c r="H69" s="159">
        <f t="shared" si="2"/>
        <v>0.625</v>
      </c>
      <c r="I69" s="366"/>
      <c r="J69" s="366"/>
      <c r="K69" s="369"/>
    </row>
    <row r="70" spans="1:11" ht="12.75">
      <c r="A70" s="363"/>
      <c r="B70" s="160" t="s">
        <v>130</v>
      </c>
      <c r="C70" s="158">
        <v>4</v>
      </c>
      <c r="D70" s="373"/>
      <c r="E70" s="161">
        <v>0.2</v>
      </c>
      <c r="F70" s="161">
        <v>0.6</v>
      </c>
      <c r="G70" s="162">
        <v>0.5</v>
      </c>
      <c r="H70" s="159">
        <f t="shared" si="2"/>
        <v>0.8333333333333334</v>
      </c>
      <c r="I70" s="366"/>
      <c r="J70" s="366"/>
      <c r="K70" s="369"/>
    </row>
    <row r="71" spans="1:11" ht="36">
      <c r="A71" s="363"/>
      <c r="B71" s="160" t="s">
        <v>152</v>
      </c>
      <c r="C71" s="158">
        <v>5</v>
      </c>
      <c r="D71" s="373"/>
      <c r="E71" s="161">
        <v>0.2</v>
      </c>
      <c r="F71" s="161">
        <v>0.4</v>
      </c>
      <c r="G71" s="162">
        <v>0.25</v>
      </c>
      <c r="H71" s="159">
        <f t="shared" si="2"/>
        <v>0.625</v>
      </c>
      <c r="I71" s="366"/>
      <c r="J71" s="366"/>
      <c r="K71" s="369"/>
    </row>
    <row r="72" spans="1:11" ht="48">
      <c r="A72" s="363"/>
      <c r="B72" s="160" t="s">
        <v>127</v>
      </c>
      <c r="C72" s="158">
        <v>6</v>
      </c>
      <c r="D72" s="373"/>
      <c r="E72" s="161">
        <v>0.2</v>
      </c>
      <c r="F72" s="161">
        <v>0.4</v>
      </c>
      <c r="G72" s="162">
        <v>0.25</v>
      </c>
      <c r="H72" s="159">
        <f t="shared" si="2"/>
        <v>0.625</v>
      </c>
      <c r="I72" s="366"/>
      <c r="J72" s="366"/>
      <c r="K72" s="369"/>
    </row>
    <row r="73" spans="1:11" ht="12.75">
      <c r="A73" s="363"/>
      <c r="B73" s="160" t="s">
        <v>130</v>
      </c>
      <c r="C73" s="158">
        <v>7</v>
      </c>
      <c r="D73" s="373"/>
      <c r="E73" s="161">
        <v>0.1</v>
      </c>
      <c r="F73" s="161">
        <v>0.2</v>
      </c>
      <c r="G73" s="162">
        <v>0.2</v>
      </c>
      <c r="H73" s="159">
        <f t="shared" si="2"/>
        <v>1</v>
      </c>
      <c r="I73" s="366"/>
      <c r="J73" s="366"/>
      <c r="K73" s="369"/>
    </row>
    <row r="74" spans="1:11" ht="36">
      <c r="A74" s="363"/>
      <c r="B74" s="160" t="s">
        <v>151</v>
      </c>
      <c r="C74" s="158">
        <v>8</v>
      </c>
      <c r="D74" s="373"/>
      <c r="E74" s="161">
        <v>0.1</v>
      </c>
      <c r="F74" s="161">
        <v>0.2</v>
      </c>
      <c r="G74" s="162">
        <v>0.2</v>
      </c>
      <c r="H74" s="159">
        <f t="shared" si="2"/>
        <v>1</v>
      </c>
      <c r="I74" s="366"/>
      <c r="J74" s="366"/>
      <c r="K74" s="369"/>
    </row>
    <row r="75" spans="1:11" ht="48">
      <c r="A75" s="363"/>
      <c r="B75" s="160" t="s">
        <v>127</v>
      </c>
      <c r="C75" s="158">
        <v>9</v>
      </c>
      <c r="D75" s="373"/>
      <c r="E75" s="161">
        <v>0.1</v>
      </c>
      <c r="F75" s="161">
        <v>0.2</v>
      </c>
      <c r="G75" s="162">
        <v>0.2</v>
      </c>
      <c r="H75" s="159">
        <f t="shared" si="2"/>
        <v>1</v>
      </c>
      <c r="I75" s="366"/>
      <c r="J75" s="366"/>
      <c r="K75" s="369"/>
    </row>
    <row r="76" spans="1:11" ht="60">
      <c r="A76" s="363"/>
      <c r="B76" s="160" t="s">
        <v>128</v>
      </c>
      <c r="C76" s="158">
        <v>10</v>
      </c>
      <c r="D76" s="373"/>
      <c r="E76" s="161">
        <v>0.1</v>
      </c>
      <c r="F76" s="161">
        <v>0.2</v>
      </c>
      <c r="G76" s="162">
        <v>0.1</v>
      </c>
      <c r="H76" s="159">
        <f t="shared" si="2"/>
        <v>0.5</v>
      </c>
      <c r="I76" s="366"/>
      <c r="J76" s="366"/>
      <c r="K76" s="369"/>
    </row>
    <row r="77" spans="1:11" ht="12.75">
      <c r="A77" s="363"/>
      <c r="B77" s="160" t="s">
        <v>129</v>
      </c>
      <c r="C77" s="158">
        <v>11</v>
      </c>
      <c r="D77" s="373"/>
      <c r="E77" s="161">
        <v>0.1</v>
      </c>
      <c r="F77" s="161">
        <v>0.2</v>
      </c>
      <c r="G77" s="162">
        <v>0.1</v>
      </c>
      <c r="H77" s="159">
        <f t="shared" si="2"/>
        <v>0.5</v>
      </c>
      <c r="I77" s="366"/>
      <c r="J77" s="366"/>
      <c r="K77" s="369"/>
    </row>
    <row r="78" spans="1:11" ht="24">
      <c r="A78" s="364"/>
      <c r="B78" s="160" t="s">
        <v>299</v>
      </c>
      <c r="C78" s="199">
        <v>12</v>
      </c>
      <c r="D78" s="374"/>
      <c r="E78" s="177">
        <v>0</v>
      </c>
      <c r="F78" s="177">
        <v>1</v>
      </c>
      <c r="G78" s="178">
        <v>0.5</v>
      </c>
      <c r="H78" s="159">
        <f t="shared" si="2"/>
        <v>0.5</v>
      </c>
      <c r="I78" s="367"/>
      <c r="J78" s="367"/>
      <c r="K78" s="370"/>
    </row>
    <row r="79" spans="1:11" ht="24">
      <c r="A79" s="158" t="s">
        <v>113</v>
      </c>
      <c r="B79" s="160" t="s">
        <v>246</v>
      </c>
      <c r="C79" s="199">
        <v>1</v>
      </c>
      <c r="D79" s="210">
        <f>H79</f>
        <v>0.6</v>
      </c>
      <c r="E79" s="158">
        <v>0</v>
      </c>
      <c r="F79" s="158">
        <v>1</v>
      </c>
      <c r="G79" s="164">
        <v>0.6</v>
      </c>
      <c r="H79" s="159">
        <f t="shared" si="2"/>
        <v>0.6</v>
      </c>
      <c r="I79" s="168">
        <f>32300000+10000000</f>
        <v>42300000</v>
      </c>
      <c r="J79" s="168">
        <f>32300000+7500000</f>
        <v>39800000</v>
      </c>
      <c r="K79" s="163">
        <f>J79/I79</f>
        <v>0.9408983451536643</v>
      </c>
    </row>
    <row r="80" spans="1:11" ht="72">
      <c r="A80" s="360" t="s">
        <v>114</v>
      </c>
      <c r="B80" s="160" t="s">
        <v>303</v>
      </c>
      <c r="C80" s="158">
        <v>1</v>
      </c>
      <c r="D80" s="372">
        <f>SUM(H80:H98)/19</f>
        <v>0.8070175438596492</v>
      </c>
      <c r="E80" s="161">
        <v>1</v>
      </c>
      <c r="F80" s="161">
        <v>1</v>
      </c>
      <c r="G80" s="162">
        <v>0.75</v>
      </c>
      <c r="H80" s="159">
        <f t="shared" si="2"/>
        <v>0.75</v>
      </c>
      <c r="I80" s="361">
        <f>141000000+228000000+326900000</f>
        <v>695900000</v>
      </c>
      <c r="J80" s="361">
        <f>141000000+225120000+228870000</f>
        <v>594990000</v>
      </c>
      <c r="K80" s="357">
        <f>J80/I80</f>
        <v>0.8549935335536715</v>
      </c>
    </row>
    <row r="81" spans="1:11" ht="48">
      <c r="A81" s="360"/>
      <c r="B81" s="160" t="s">
        <v>213</v>
      </c>
      <c r="C81" s="158">
        <v>2</v>
      </c>
      <c r="D81" s="373"/>
      <c r="E81" s="158">
        <v>4</v>
      </c>
      <c r="F81" s="158">
        <v>4</v>
      </c>
      <c r="G81" s="164">
        <v>3</v>
      </c>
      <c r="H81" s="159">
        <f t="shared" si="2"/>
        <v>0.75</v>
      </c>
      <c r="I81" s="361"/>
      <c r="J81" s="361"/>
      <c r="K81" s="357"/>
    </row>
    <row r="82" spans="1:11" ht="60">
      <c r="A82" s="360"/>
      <c r="B82" s="160" t="s">
        <v>214</v>
      </c>
      <c r="C82" s="158">
        <v>3</v>
      </c>
      <c r="D82" s="373"/>
      <c r="E82" s="158">
        <v>1</v>
      </c>
      <c r="F82" s="158">
        <v>1</v>
      </c>
      <c r="G82" s="164">
        <v>1</v>
      </c>
      <c r="H82" s="159">
        <f t="shared" si="2"/>
        <v>1</v>
      </c>
      <c r="I82" s="361"/>
      <c r="J82" s="361"/>
      <c r="K82" s="357"/>
    </row>
    <row r="83" spans="1:11" ht="48">
      <c r="A83" s="360"/>
      <c r="B83" s="160" t="s">
        <v>304</v>
      </c>
      <c r="C83" s="158">
        <v>4</v>
      </c>
      <c r="D83" s="373"/>
      <c r="E83" s="158">
        <v>1</v>
      </c>
      <c r="F83" s="158">
        <v>1</v>
      </c>
      <c r="G83" s="164">
        <v>0.75</v>
      </c>
      <c r="H83" s="159">
        <f t="shared" si="2"/>
        <v>0.75</v>
      </c>
      <c r="I83" s="361"/>
      <c r="J83" s="361"/>
      <c r="K83" s="357"/>
    </row>
    <row r="84" spans="1:11" ht="60">
      <c r="A84" s="360"/>
      <c r="B84" s="160" t="s">
        <v>407</v>
      </c>
      <c r="C84" s="158">
        <v>5</v>
      </c>
      <c r="D84" s="373"/>
      <c r="E84" s="177">
        <v>2</v>
      </c>
      <c r="F84" s="177">
        <v>2</v>
      </c>
      <c r="G84" s="178">
        <v>1.5</v>
      </c>
      <c r="H84" s="159">
        <f t="shared" si="2"/>
        <v>0.75</v>
      </c>
      <c r="I84" s="361"/>
      <c r="J84" s="361"/>
      <c r="K84" s="357"/>
    </row>
    <row r="85" spans="1:11" ht="84">
      <c r="A85" s="360"/>
      <c r="B85" s="160" t="s">
        <v>305</v>
      </c>
      <c r="C85" s="158">
        <v>6</v>
      </c>
      <c r="D85" s="373"/>
      <c r="E85" s="161">
        <v>1</v>
      </c>
      <c r="F85" s="161">
        <v>1</v>
      </c>
      <c r="G85" s="162">
        <v>0.6</v>
      </c>
      <c r="H85" s="159">
        <f t="shared" si="2"/>
        <v>0.6</v>
      </c>
      <c r="I85" s="361"/>
      <c r="J85" s="361"/>
      <c r="K85" s="357"/>
    </row>
    <row r="86" spans="1:11" ht="84">
      <c r="A86" s="360"/>
      <c r="B86" s="160" t="s">
        <v>306</v>
      </c>
      <c r="C86" s="158">
        <v>7</v>
      </c>
      <c r="D86" s="373"/>
      <c r="E86" s="161">
        <v>1</v>
      </c>
      <c r="F86" s="161">
        <v>1</v>
      </c>
      <c r="G86" s="162">
        <v>0.75</v>
      </c>
      <c r="H86" s="159">
        <f t="shared" si="2"/>
        <v>0.75</v>
      </c>
      <c r="I86" s="361"/>
      <c r="J86" s="361"/>
      <c r="K86" s="357"/>
    </row>
    <row r="87" spans="1:11" ht="24">
      <c r="A87" s="360"/>
      <c r="B87" s="160" t="s">
        <v>215</v>
      </c>
      <c r="C87" s="158">
        <v>8</v>
      </c>
      <c r="D87" s="373"/>
      <c r="E87" s="158">
        <v>1</v>
      </c>
      <c r="F87" s="158">
        <v>1</v>
      </c>
      <c r="G87" s="164">
        <v>1</v>
      </c>
      <c r="H87" s="159">
        <f t="shared" si="2"/>
        <v>1</v>
      </c>
      <c r="I87" s="361"/>
      <c r="J87" s="361"/>
      <c r="K87" s="357"/>
    </row>
    <row r="88" spans="1:11" ht="120">
      <c r="A88" s="360"/>
      <c r="B88" s="160" t="s">
        <v>216</v>
      </c>
      <c r="C88" s="158">
        <v>9</v>
      </c>
      <c r="D88" s="373"/>
      <c r="E88" s="158">
        <v>7</v>
      </c>
      <c r="F88" s="158">
        <v>7</v>
      </c>
      <c r="G88" s="164">
        <v>7</v>
      </c>
      <c r="H88" s="159">
        <f t="shared" si="2"/>
        <v>1</v>
      </c>
      <c r="I88" s="361"/>
      <c r="J88" s="361"/>
      <c r="K88" s="357"/>
    </row>
    <row r="89" spans="1:11" ht="72">
      <c r="A89" s="360"/>
      <c r="B89" s="160" t="s">
        <v>223</v>
      </c>
      <c r="C89" s="158">
        <v>10</v>
      </c>
      <c r="D89" s="373"/>
      <c r="E89" s="158">
        <v>1</v>
      </c>
      <c r="F89" s="158">
        <v>1</v>
      </c>
      <c r="G89" s="164">
        <v>1</v>
      </c>
      <c r="H89" s="159">
        <f t="shared" si="2"/>
        <v>1</v>
      </c>
      <c r="I89" s="361"/>
      <c r="J89" s="361"/>
      <c r="K89" s="357"/>
    </row>
    <row r="90" spans="1:11" ht="84">
      <c r="A90" s="360"/>
      <c r="B90" s="160" t="s">
        <v>224</v>
      </c>
      <c r="C90" s="158">
        <v>11</v>
      </c>
      <c r="D90" s="373"/>
      <c r="E90" s="158">
        <v>4</v>
      </c>
      <c r="F90" s="158">
        <v>4</v>
      </c>
      <c r="G90" s="164">
        <v>2</v>
      </c>
      <c r="H90" s="159">
        <f t="shared" si="2"/>
        <v>0.5</v>
      </c>
      <c r="I90" s="361"/>
      <c r="J90" s="361"/>
      <c r="K90" s="357"/>
    </row>
    <row r="91" spans="1:11" ht="120">
      <c r="A91" s="360"/>
      <c r="B91" s="160" t="s">
        <v>225</v>
      </c>
      <c r="C91" s="158">
        <v>12</v>
      </c>
      <c r="D91" s="373"/>
      <c r="E91" s="158">
        <v>0</v>
      </c>
      <c r="F91" s="158">
        <v>1</v>
      </c>
      <c r="G91" s="164">
        <v>1</v>
      </c>
      <c r="H91" s="159">
        <f t="shared" si="2"/>
        <v>1</v>
      </c>
      <c r="I91" s="361"/>
      <c r="J91" s="361"/>
      <c r="K91" s="357"/>
    </row>
    <row r="92" spans="1:11" ht="72">
      <c r="A92" s="360"/>
      <c r="B92" s="160" t="s">
        <v>226</v>
      </c>
      <c r="C92" s="158">
        <v>13</v>
      </c>
      <c r="D92" s="373"/>
      <c r="E92" s="161">
        <v>1</v>
      </c>
      <c r="F92" s="161">
        <v>1</v>
      </c>
      <c r="G92" s="162">
        <v>0.5</v>
      </c>
      <c r="H92" s="159">
        <f t="shared" si="2"/>
        <v>0.5</v>
      </c>
      <c r="I92" s="361"/>
      <c r="J92" s="361"/>
      <c r="K92" s="357"/>
    </row>
    <row r="93" spans="1:11" ht="36">
      <c r="A93" s="360"/>
      <c r="B93" s="160" t="s">
        <v>284</v>
      </c>
      <c r="C93" s="158">
        <v>14</v>
      </c>
      <c r="D93" s="373"/>
      <c r="E93" s="161">
        <v>1</v>
      </c>
      <c r="F93" s="161">
        <v>1</v>
      </c>
      <c r="G93" s="162">
        <v>0.8</v>
      </c>
      <c r="H93" s="159">
        <f t="shared" si="2"/>
        <v>0.8</v>
      </c>
      <c r="I93" s="361"/>
      <c r="J93" s="361"/>
      <c r="K93" s="357"/>
    </row>
    <row r="94" spans="1:11" ht="72">
      <c r="A94" s="360"/>
      <c r="B94" s="160" t="s">
        <v>285</v>
      </c>
      <c r="C94" s="158">
        <v>15</v>
      </c>
      <c r="D94" s="373"/>
      <c r="E94" s="161">
        <v>1</v>
      </c>
      <c r="F94" s="161">
        <v>1</v>
      </c>
      <c r="G94" s="162">
        <v>0.6</v>
      </c>
      <c r="H94" s="159">
        <f t="shared" si="2"/>
        <v>0.6</v>
      </c>
      <c r="I94" s="361"/>
      <c r="J94" s="361"/>
      <c r="K94" s="357"/>
    </row>
    <row r="95" spans="1:11" ht="108">
      <c r="A95" s="360"/>
      <c r="B95" s="160" t="s">
        <v>286</v>
      </c>
      <c r="C95" s="158">
        <v>16</v>
      </c>
      <c r="D95" s="373"/>
      <c r="E95" s="161">
        <v>0.8</v>
      </c>
      <c r="F95" s="161">
        <v>0.9</v>
      </c>
      <c r="G95" s="162">
        <v>0.75</v>
      </c>
      <c r="H95" s="159">
        <f t="shared" si="2"/>
        <v>0.8333333333333333</v>
      </c>
      <c r="I95" s="361"/>
      <c r="J95" s="361"/>
      <c r="K95" s="357"/>
    </row>
    <row r="96" spans="1:11" ht="72">
      <c r="A96" s="360"/>
      <c r="B96" s="160" t="s">
        <v>287</v>
      </c>
      <c r="C96" s="158">
        <v>17</v>
      </c>
      <c r="D96" s="373"/>
      <c r="E96" s="161">
        <v>1</v>
      </c>
      <c r="F96" s="161">
        <v>1</v>
      </c>
      <c r="G96" s="162">
        <v>1</v>
      </c>
      <c r="H96" s="159">
        <f t="shared" si="2"/>
        <v>1</v>
      </c>
      <c r="I96" s="361"/>
      <c r="J96" s="361"/>
      <c r="K96" s="357"/>
    </row>
    <row r="97" spans="1:11" ht="108">
      <c r="A97" s="360"/>
      <c r="B97" s="160" t="s">
        <v>288</v>
      </c>
      <c r="C97" s="158">
        <v>18</v>
      </c>
      <c r="D97" s="373"/>
      <c r="E97" s="161">
        <v>1</v>
      </c>
      <c r="F97" s="161">
        <v>1</v>
      </c>
      <c r="G97" s="162">
        <v>1</v>
      </c>
      <c r="H97" s="159">
        <f t="shared" si="2"/>
        <v>1</v>
      </c>
      <c r="I97" s="361"/>
      <c r="J97" s="361"/>
      <c r="K97" s="357"/>
    </row>
    <row r="98" spans="1:11" ht="96">
      <c r="A98" s="360"/>
      <c r="B98" s="160" t="s">
        <v>289</v>
      </c>
      <c r="C98" s="199">
        <v>19</v>
      </c>
      <c r="D98" s="374"/>
      <c r="E98" s="161">
        <v>1</v>
      </c>
      <c r="F98" s="161">
        <v>1</v>
      </c>
      <c r="G98" s="162">
        <v>0.75</v>
      </c>
      <c r="H98" s="159">
        <f t="shared" si="2"/>
        <v>0.75</v>
      </c>
      <c r="I98" s="361"/>
      <c r="J98" s="361"/>
      <c r="K98" s="357"/>
    </row>
    <row r="99" spans="1:11" ht="72">
      <c r="A99" s="360" t="s">
        <v>115</v>
      </c>
      <c r="B99" s="180" t="s">
        <v>411</v>
      </c>
      <c r="C99" s="203">
        <v>1</v>
      </c>
      <c r="D99" s="395">
        <f>SUM(H99:H102)/4</f>
        <v>0.75</v>
      </c>
      <c r="E99" s="161">
        <v>1</v>
      </c>
      <c r="F99" s="161">
        <v>1</v>
      </c>
      <c r="G99" s="162">
        <v>0.75</v>
      </c>
      <c r="H99" s="159">
        <f t="shared" si="2"/>
        <v>0.75</v>
      </c>
      <c r="I99" s="361">
        <f>150000000+97747294+42900000</f>
        <v>290647294</v>
      </c>
      <c r="J99" s="361">
        <f>45307000+46150000</f>
        <v>91457000</v>
      </c>
      <c r="K99" s="357">
        <f>J99/I99</f>
        <v>0.31466661444300253</v>
      </c>
    </row>
    <row r="100" spans="1:11" ht="84">
      <c r="A100" s="360"/>
      <c r="B100" s="180" t="s">
        <v>412</v>
      </c>
      <c r="C100" s="203">
        <v>2</v>
      </c>
      <c r="D100" s="396"/>
      <c r="E100" s="158">
        <v>4</v>
      </c>
      <c r="F100" s="158">
        <v>4</v>
      </c>
      <c r="G100" s="164">
        <v>1</v>
      </c>
      <c r="H100" s="159">
        <f t="shared" si="2"/>
        <v>0.25</v>
      </c>
      <c r="I100" s="361"/>
      <c r="J100" s="361"/>
      <c r="K100" s="357"/>
    </row>
    <row r="101" spans="1:11" ht="96">
      <c r="A101" s="360"/>
      <c r="B101" s="180" t="s">
        <v>413</v>
      </c>
      <c r="C101" s="203">
        <v>3</v>
      </c>
      <c r="D101" s="396"/>
      <c r="E101" s="158">
        <v>4</v>
      </c>
      <c r="F101" s="158">
        <v>4</v>
      </c>
      <c r="G101" s="164">
        <v>4</v>
      </c>
      <c r="H101" s="159">
        <f t="shared" si="2"/>
        <v>1</v>
      </c>
      <c r="I101" s="361"/>
      <c r="J101" s="361"/>
      <c r="K101" s="357"/>
    </row>
    <row r="102" spans="1:11" ht="48">
      <c r="A102" s="360"/>
      <c r="B102" s="180" t="s">
        <v>414</v>
      </c>
      <c r="C102" s="204">
        <v>4</v>
      </c>
      <c r="D102" s="397"/>
      <c r="E102" s="158">
        <v>11</v>
      </c>
      <c r="F102" s="158">
        <v>11</v>
      </c>
      <c r="G102" s="164">
        <v>11</v>
      </c>
      <c r="H102" s="159">
        <f t="shared" si="2"/>
        <v>1</v>
      </c>
      <c r="I102" s="361"/>
      <c r="J102" s="361"/>
      <c r="K102" s="357"/>
    </row>
    <row r="103" spans="1:11" ht="48">
      <c r="A103" s="362" t="s">
        <v>161</v>
      </c>
      <c r="B103" s="180" t="s">
        <v>217</v>
      </c>
      <c r="C103" s="203">
        <v>1</v>
      </c>
      <c r="D103" s="398">
        <f>SUM(H103:H117)/15</f>
        <v>0.9099999999999999</v>
      </c>
      <c r="E103" s="161">
        <v>1</v>
      </c>
      <c r="F103" s="161">
        <v>1</v>
      </c>
      <c r="G103" s="162">
        <v>1</v>
      </c>
      <c r="H103" s="159">
        <f t="shared" si="2"/>
        <v>1</v>
      </c>
      <c r="I103" s="365">
        <f>66000000+231000000+305500000+60000000+27586193</f>
        <v>690086193</v>
      </c>
      <c r="J103" s="365">
        <f>65700000+231000000+246616666+6978850</f>
        <v>550295516</v>
      </c>
      <c r="K103" s="368">
        <f>J103/I103</f>
        <v>0.79743012044294</v>
      </c>
    </row>
    <row r="104" spans="1:11" ht="24">
      <c r="A104" s="363"/>
      <c r="B104" s="180" t="s">
        <v>247</v>
      </c>
      <c r="C104" s="203">
        <v>2</v>
      </c>
      <c r="D104" s="399"/>
      <c r="E104" s="181">
        <v>200</v>
      </c>
      <c r="F104" s="181">
        <v>2000</v>
      </c>
      <c r="G104" s="164">
        <v>2000</v>
      </c>
      <c r="H104" s="159">
        <f t="shared" si="2"/>
        <v>1</v>
      </c>
      <c r="I104" s="366"/>
      <c r="J104" s="366"/>
      <c r="K104" s="369"/>
    </row>
    <row r="105" spans="1:11" ht="72">
      <c r="A105" s="363"/>
      <c r="B105" s="160" t="s">
        <v>248</v>
      </c>
      <c r="C105" s="158">
        <v>3</v>
      </c>
      <c r="D105" s="399"/>
      <c r="E105" s="182">
        <v>1</v>
      </c>
      <c r="F105" s="182">
        <v>1</v>
      </c>
      <c r="G105" s="162">
        <v>1</v>
      </c>
      <c r="H105" s="159">
        <f t="shared" si="2"/>
        <v>1</v>
      </c>
      <c r="I105" s="366"/>
      <c r="J105" s="366"/>
      <c r="K105" s="369"/>
    </row>
    <row r="106" spans="1:11" ht="84">
      <c r="A106" s="363"/>
      <c r="B106" s="160" t="s">
        <v>249</v>
      </c>
      <c r="C106" s="158">
        <v>4</v>
      </c>
      <c r="D106" s="399"/>
      <c r="E106" s="181">
        <v>12</v>
      </c>
      <c r="F106" s="181">
        <v>12</v>
      </c>
      <c r="G106" s="164">
        <v>9</v>
      </c>
      <c r="H106" s="159">
        <f t="shared" si="2"/>
        <v>0.75</v>
      </c>
      <c r="I106" s="366"/>
      <c r="J106" s="366"/>
      <c r="K106" s="369"/>
    </row>
    <row r="107" spans="1:11" ht="72">
      <c r="A107" s="363"/>
      <c r="B107" s="183" t="s">
        <v>300</v>
      </c>
      <c r="C107" s="181">
        <v>5</v>
      </c>
      <c r="D107" s="399"/>
      <c r="E107" s="182">
        <v>1</v>
      </c>
      <c r="F107" s="182">
        <v>1</v>
      </c>
      <c r="G107" s="162">
        <v>1</v>
      </c>
      <c r="H107" s="159">
        <f t="shared" si="2"/>
        <v>1</v>
      </c>
      <c r="I107" s="366"/>
      <c r="J107" s="366"/>
      <c r="K107" s="369"/>
    </row>
    <row r="108" spans="1:11" ht="72">
      <c r="A108" s="363"/>
      <c r="B108" s="160" t="s">
        <v>250</v>
      </c>
      <c r="C108" s="158">
        <v>6</v>
      </c>
      <c r="D108" s="399"/>
      <c r="E108" s="182">
        <v>1</v>
      </c>
      <c r="F108" s="182">
        <v>1</v>
      </c>
      <c r="G108" s="162">
        <v>1</v>
      </c>
      <c r="H108" s="159">
        <f t="shared" si="2"/>
        <v>1</v>
      </c>
      <c r="I108" s="366"/>
      <c r="J108" s="366"/>
      <c r="K108" s="369"/>
    </row>
    <row r="109" spans="1:11" ht="60">
      <c r="A109" s="363"/>
      <c r="B109" s="160" t="s">
        <v>251</v>
      </c>
      <c r="C109" s="158">
        <v>7</v>
      </c>
      <c r="D109" s="399"/>
      <c r="E109" s="182">
        <v>1</v>
      </c>
      <c r="F109" s="182">
        <v>1</v>
      </c>
      <c r="G109" s="162">
        <v>1</v>
      </c>
      <c r="H109" s="159">
        <f t="shared" si="2"/>
        <v>1</v>
      </c>
      <c r="I109" s="366"/>
      <c r="J109" s="366"/>
      <c r="K109" s="369"/>
    </row>
    <row r="110" spans="1:11" ht="72">
      <c r="A110" s="363"/>
      <c r="B110" s="180" t="s">
        <v>252</v>
      </c>
      <c r="C110" s="203">
        <v>8</v>
      </c>
      <c r="D110" s="399"/>
      <c r="E110" s="182">
        <v>1</v>
      </c>
      <c r="F110" s="182">
        <v>1</v>
      </c>
      <c r="G110" s="162">
        <v>1</v>
      </c>
      <c r="H110" s="159">
        <f t="shared" si="2"/>
        <v>1</v>
      </c>
      <c r="I110" s="366"/>
      <c r="J110" s="366"/>
      <c r="K110" s="369"/>
    </row>
    <row r="111" spans="1:11" ht="36">
      <c r="A111" s="363"/>
      <c r="B111" s="180" t="s">
        <v>253</v>
      </c>
      <c r="C111" s="203">
        <v>9</v>
      </c>
      <c r="D111" s="399"/>
      <c r="E111" s="182">
        <v>1</v>
      </c>
      <c r="F111" s="182">
        <v>1</v>
      </c>
      <c r="G111" s="162">
        <v>0.2</v>
      </c>
      <c r="H111" s="159">
        <f t="shared" si="2"/>
        <v>0.2</v>
      </c>
      <c r="I111" s="366"/>
      <c r="J111" s="366"/>
      <c r="K111" s="369"/>
    </row>
    <row r="112" spans="1:11" ht="48">
      <c r="A112" s="363"/>
      <c r="B112" s="180" t="s">
        <v>254</v>
      </c>
      <c r="C112" s="203">
        <v>10</v>
      </c>
      <c r="D112" s="399"/>
      <c r="E112" s="182">
        <v>1</v>
      </c>
      <c r="F112" s="182">
        <v>1</v>
      </c>
      <c r="G112" s="162">
        <v>1</v>
      </c>
      <c r="H112" s="159">
        <f t="shared" si="2"/>
        <v>1</v>
      </c>
      <c r="I112" s="366"/>
      <c r="J112" s="366"/>
      <c r="K112" s="369"/>
    </row>
    <row r="113" spans="1:11" ht="36">
      <c r="A113" s="363"/>
      <c r="B113" s="180" t="s">
        <v>255</v>
      </c>
      <c r="C113" s="203">
        <v>11</v>
      </c>
      <c r="D113" s="399"/>
      <c r="E113" s="182">
        <v>1</v>
      </c>
      <c r="F113" s="182">
        <v>1</v>
      </c>
      <c r="G113" s="162">
        <v>1</v>
      </c>
      <c r="H113" s="159">
        <f t="shared" si="2"/>
        <v>1</v>
      </c>
      <c r="I113" s="366"/>
      <c r="J113" s="366"/>
      <c r="K113" s="369"/>
    </row>
    <row r="114" spans="1:11" ht="72">
      <c r="A114" s="363"/>
      <c r="B114" s="180" t="s">
        <v>256</v>
      </c>
      <c r="C114" s="203">
        <v>12</v>
      </c>
      <c r="D114" s="399"/>
      <c r="E114" s="182">
        <v>1</v>
      </c>
      <c r="F114" s="182">
        <v>1</v>
      </c>
      <c r="G114" s="162">
        <v>1</v>
      </c>
      <c r="H114" s="159">
        <f t="shared" si="2"/>
        <v>1</v>
      </c>
      <c r="I114" s="366"/>
      <c r="J114" s="366"/>
      <c r="K114" s="369"/>
    </row>
    <row r="115" spans="1:11" ht="96">
      <c r="A115" s="363"/>
      <c r="B115" s="184" t="s">
        <v>257</v>
      </c>
      <c r="C115" s="205">
        <v>13</v>
      </c>
      <c r="D115" s="399"/>
      <c r="E115" s="162">
        <v>1</v>
      </c>
      <c r="F115" s="162">
        <v>1</v>
      </c>
      <c r="G115" s="162">
        <v>1</v>
      </c>
      <c r="H115" s="159">
        <f t="shared" si="2"/>
        <v>1</v>
      </c>
      <c r="I115" s="366"/>
      <c r="J115" s="366"/>
      <c r="K115" s="369"/>
    </row>
    <row r="116" spans="1:11" ht="103.5" customHeight="1" thickBot="1">
      <c r="A116" s="363"/>
      <c r="B116" s="185" t="s">
        <v>301</v>
      </c>
      <c r="C116" s="206">
        <v>14</v>
      </c>
      <c r="D116" s="399"/>
      <c r="E116" s="177">
        <v>0</v>
      </c>
      <c r="F116" s="161">
        <v>1</v>
      </c>
      <c r="G116" s="162">
        <v>0.7</v>
      </c>
      <c r="H116" s="159">
        <f t="shared" si="2"/>
        <v>0.7</v>
      </c>
      <c r="I116" s="366"/>
      <c r="J116" s="366"/>
      <c r="K116" s="369"/>
    </row>
    <row r="117" spans="1:19" ht="96" customHeight="1" thickBot="1">
      <c r="A117" s="364"/>
      <c r="B117" s="180" t="s">
        <v>302</v>
      </c>
      <c r="C117" s="204">
        <v>15</v>
      </c>
      <c r="D117" s="400"/>
      <c r="E117" s="177">
        <v>0</v>
      </c>
      <c r="F117" s="161">
        <v>1</v>
      </c>
      <c r="G117" s="162">
        <v>1</v>
      </c>
      <c r="H117" s="159">
        <f t="shared" si="2"/>
        <v>1</v>
      </c>
      <c r="I117" s="367"/>
      <c r="J117" s="367"/>
      <c r="K117" s="370"/>
      <c r="N117" s="212" t="s">
        <v>102</v>
      </c>
      <c r="O117" s="213">
        <v>8</v>
      </c>
      <c r="P117" s="214">
        <v>0.7188</v>
      </c>
      <c r="Q117" s="188">
        <f aca="true" t="shared" si="3" ref="Q117:Q136">N2</f>
        <v>1031821180</v>
      </c>
      <c r="R117" s="188">
        <f aca="true" t="shared" si="4" ref="R117:R136">O2</f>
        <v>296271180</v>
      </c>
      <c r="S117" s="189">
        <f>R117/Q117</f>
        <v>0.2871342299835326</v>
      </c>
    </row>
    <row r="118" spans="1:19" ht="60.75" thickBot="1">
      <c r="A118" s="360" t="s">
        <v>116</v>
      </c>
      <c r="B118" s="160" t="s">
        <v>155</v>
      </c>
      <c r="C118" s="158">
        <v>1</v>
      </c>
      <c r="D118" s="372">
        <f>SUM(H118:H126)/9</f>
        <v>0.5627777777777777</v>
      </c>
      <c r="E118" s="158">
        <v>0</v>
      </c>
      <c r="F118" s="158">
        <v>200</v>
      </c>
      <c r="G118" s="164">
        <v>109</v>
      </c>
      <c r="H118" s="159">
        <f t="shared" si="2"/>
        <v>0.545</v>
      </c>
      <c r="I118" s="361">
        <f>146400000+42550000</f>
        <v>188950000</v>
      </c>
      <c r="J118" s="361">
        <f>146400000+42550000</f>
        <v>188950000</v>
      </c>
      <c r="K118" s="357">
        <f>J118/I118</f>
        <v>1</v>
      </c>
      <c r="N118" s="215" t="s">
        <v>103</v>
      </c>
      <c r="O118" s="216">
        <v>3</v>
      </c>
      <c r="P118" s="217">
        <v>0.9167</v>
      </c>
      <c r="Q118" s="190">
        <f t="shared" si="3"/>
        <v>1134878820</v>
      </c>
      <c r="R118" s="190">
        <f t="shared" si="4"/>
        <v>1114081771.2</v>
      </c>
      <c r="S118" s="189">
        <f aca="true" t="shared" si="5" ref="S118:S137">R118/Q118</f>
        <v>0.9816746524532021</v>
      </c>
    </row>
    <row r="119" spans="1:19" ht="60.75" thickBot="1">
      <c r="A119" s="360"/>
      <c r="B119" s="160" t="s">
        <v>117</v>
      </c>
      <c r="C119" s="158">
        <v>2</v>
      </c>
      <c r="D119" s="373"/>
      <c r="E119" s="158">
        <v>0</v>
      </c>
      <c r="F119" s="158">
        <v>200</v>
      </c>
      <c r="G119" s="164">
        <v>117</v>
      </c>
      <c r="H119" s="159">
        <f t="shared" si="2"/>
        <v>0.585</v>
      </c>
      <c r="I119" s="361"/>
      <c r="J119" s="361"/>
      <c r="K119" s="357"/>
      <c r="N119" s="215" t="s">
        <v>104</v>
      </c>
      <c r="O119" s="216">
        <v>4</v>
      </c>
      <c r="P119" s="217">
        <v>0.75</v>
      </c>
      <c r="Q119" s="190">
        <f t="shared" si="3"/>
        <v>1777186101</v>
      </c>
      <c r="R119" s="190">
        <f t="shared" si="4"/>
        <v>46650000</v>
      </c>
      <c r="S119" s="189">
        <f t="shared" si="5"/>
        <v>0.026249361264839198</v>
      </c>
    </row>
    <row r="120" spans="1:19" ht="84.75" thickBot="1">
      <c r="A120" s="360"/>
      <c r="B120" s="160" t="s">
        <v>156</v>
      </c>
      <c r="C120" s="158">
        <v>3</v>
      </c>
      <c r="D120" s="373"/>
      <c r="E120" s="158">
        <v>0</v>
      </c>
      <c r="F120" s="158">
        <v>200</v>
      </c>
      <c r="G120" s="164">
        <v>80</v>
      </c>
      <c r="H120" s="159">
        <f t="shared" si="2"/>
        <v>0.4</v>
      </c>
      <c r="I120" s="361"/>
      <c r="J120" s="361"/>
      <c r="K120" s="357"/>
      <c r="N120" s="215" t="s">
        <v>105</v>
      </c>
      <c r="O120" s="216">
        <v>2</v>
      </c>
      <c r="P120" s="217">
        <v>0.65</v>
      </c>
      <c r="Q120" s="190">
        <f t="shared" si="3"/>
        <v>911200000</v>
      </c>
      <c r="R120" s="190">
        <f t="shared" si="4"/>
        <v>889950000</v>
      </c>
      <c r="S120" s="189">
        <f t="shared" si="5"/>
        <v>0.976679104477612</v>
      </c>
    </row>
    <row r="121" spans="1:19" ht="72.75" thickBot="1">
      <c r="A121" s="360"/>
      <c r="B121" s="160" t="s">
        <v>157</v>
      </c>
      <c r="C121" s="158">
        <v>4</v>
      </c>
      <c r="D121" s="373"/>
      <c r="E121" s="158">
        <v>0</v>
      </c>
      <c r="F121" s="158">
        <v>100</v>
      </c>
      <c r="G121" s="164">
        <v>65</v>
      </c>
      <c r="H121" s="159">
        <f t="shared" si="2"/>
        <v>0.65</v>
      </c>
      <c r="I121" s="361"/>
      <c r="J121" s="361"/>
      <c r="K121" s="357"/>
      <c r="N121" s="215" t="s">
        <v>106</v>
      </c>
      <c r="O121" s="216">
        <v>2</v>
      </c>
      <c r="P121" s="217">
        <v>0.6167</v>
      </c>
      <c r="Q121" s="190">
        <f t="shared" si="3"/>
        <v>44850000</v>
      </c>
      <c r="R121" s="190">
        <f t="shared" si="4"/>
        <v>44850000</v>
      </c>
      <c r="S121" s="189">
        <f t="shared" si="5"/>
        <v>1</v>
      </c>
    </row>
    <row r="122" spans="1:19" ht="60.75" thickBot="1">
      <c r="A122" s="360"/>
      <c r="B122" s="160" t="s">
        <v>158</v>
      </c>
      <c r="C122" s="158">
        <v>5</v>
      </c>
      <c r="D122" s="373"/>
      <c r="E122" s="158">
        <v>0</v>
      </c>
      <c r="F122" s="158">
        <v>100</v>
      </c>
      <c r="G122" s="164">
        <v>76</v>
      </c>
      <c r="H122" s="159">
        <f t="shared" si="2"/>
        <v>0.76</v>
      </c>
      <c r="I122" s="361"/>
      <c r="J122" s="361"/>
      <c r="K122" s="357"/>
      <c r="N122" s="215" t="s">
        <v>107</v>
      </c>
      <c r="O122" s="216">
        <v>2</v>
      </c>
      <c r="P122" s="217">
        <v>1</v>
      </c>
      <c r="Q122" s="191">
        <f t="shared" si="3"/>
        <v>100000000</v>
      </c>
      <c r="R122" s="191">
        <f t="shared" si="4"/>
        <v>100000000</v>
      </c>
      <c r="S122" s="189">
        <f t="shared" si="5"/>
        <v>1</v>
      </c>
    </row>
    <row r="123" spans="1:19" ht="60.75" thickBot="1">
      <c r="A123" s="360"/>
      <c r="B123" s="160" t="s">
        <v>118</v>
      </c>
      <c r="C123" s="158">
        <v>6</v>
      </c>
      <c r="D123" s="373"/>
      <c r="E123" s="158">
        <v>0</v>
      </c>
      <c r="F123" s="158">
        <v>20</v>
      </c>
      <c r="G123" s="164">
        <v>20</v>
      </c>
      <c r="H123" s="159">
        <f t="shared" si="2"/>
        <v>1</v>
      </c>
      <c r="I123" s="361"/>
      <c r="J123" s="361"/>
      <c r="K123" s="357"/>
      <c r="N123" s="215" t="s">
        <v>108</v>
      </c>
      <c r="O123" s="216">
        <v>4</v>
      </c>
      <c r="P123" s="217">
        <v>0.9667</v>
      </c>
      <c r="Q123" s="190">
        <f t="shared" si="3"/>
        <v>92400000</v>
      </c>
      <c r="R123" s="190">
        <f t="shared" si="4"/>
        <v>89400000</v>
      </c>
      <c r="S123" s="189">
        <f t="shared" si="5"/>
        <v>0.9675324675324676</v>
      </c>
    </row>
    <row r="124" spans="1:19" ht="39" thickBot="1">
      <c r="A124" s="360"/>
      <c r="B124" s="160" t="s">
        <v>159</v>
      </c>
      <c r="C124" s="158">
        <v>7</v>
      </c>
      <c r="D124" s="373"/>
      <c r="E124" s="158">
        <v>0</v>
      </c>
      <c r="F124" s="158">
        <v>200</v>
      </c>
      <c r="G124" s="164">
        <v>15</v>
      </c>
      <c r="H124" s="159">
        <f t="shared" si="2"/>
        <v>0.075</v>
      </c>
      <c r="I124" s="361"/>
      <c r="J124" s="361"/>
      <c r="K124" s="357"/>
      <c r="N124" s="215" t="s">
        <v>146</v>
      </c>
      <c r="O124" s="216">
        <v>3</v>
      </c>
      <c r="P124" s="217">
        <v>0.6</v>
      </c>
      <c r="Q124" s="190">
        <f t="shared" si="3"/>
        <v>49200000</v>
      </c>
      <c r="R124" s="190">
        <f t="shared" si="4"/>
        <v>47550000</v>
      </c>
      <c r="S124" s="189">
        <f t="shared" si="5"/>
        <v>0.9664634146341463</v>
      </c>
    </row>
    <row r="125" spans="1:19" ht="84.75" thickBot="1">
      <c r="A125" s="360"/>
      <c r="B125" s="160" t="s">
        <v>160</v>
      </c>
      <c r="C125" s="158">
        <v>8</v>
      </c>
      <c r="D125" s="373"/>
      <c r="E125" s="158">
        <v>0</v>
      </c>
      <c r="F125" s="158">
        <v>20</v>
      </c>
      <c r="G125" s="164">
        <v>11</v>
      </c>
      <c r="H125" s="159">
        <f t="shared" si="2"/>
        <v>0.55</v>
      </c>
      <c r="I125" s="361"/>
      <c r="J125" s="361"/>
      <c r="K125" s="357"/>
      <c r="N125" s="215" t="s">
        <v>109</v>
      </c>
      <c r="O125" s="40">
        <v>9</v>
      </c>
      <c r="P125" s="217">
        <v>0.7756</v>
      </c>
      <c r="Q125" s="192">
        <f t="shared" si="3"/>
        <v>2599150720</v>
      </c>
      <c r="R125" s="192">
        <f t="shared" si="4"/>
        <v>1925347560.62</v>
      </c>
      <c r="S125" s="189">
        <f t="shared" si="5"/>
        <v>0.7407602590356899</v>
      </c>
    </row>
    <row r="126" spans="1:19" ht="84.75" thickBot="1">
      <c r="A126" s="360"/>
      <c r="B126" s="160" t="s">
        <v>121</v>
      </c>
      <c r="C126" s="199">
        <v>9</v>
      </c>
      <c r="D126" s="374"/>
      <c r="E126" s="161">
        <v>0</v>
      </c>
      <c r="F126" s="161">
        <v>1</v>
      </c>
      <c r="G126" s="162">
        <v>0.5</v>
      </c>
      <c r="H126" s="159">
        <f t="shared" si="2"/>
        <v>0.5</v>
      </c>
      <c r="I126" s="361"/>
      <c r="J126" s="361"/>
      <c r="K126" s="357"/>
      <c r="N126" s="215" t="s">
        <v>110</v>
      </c>
      <c r="O126" s="216">
        <v>9</v>
      </c>
      <c r="P126" s="217">
        <v>0.5289</v>
      </c>
      <c r="Q126" s="190">
        <f t="shared" si="3"/>
        <v>69000000</v>
      </c>
      <c r="R126" s="190">
        <f t="shared" si="4"/>
        <v>69000000</v>
      </c>
      <c r="S126" s="189">
        <f t="shared" si="5"/>
        <v>1</v>
      </c>
    </row>
    <row r="127" spans="1:19" ht="39" thickBot="1">
      <c r="A127" s="169" t="s">
        <v>208</v>
      </c>
      <c r="B127" s="186" t="s">
        <v>258</v>
      </c>
      <c r="C127" s="207">
        <v>1</v>
      </c>
      <c r="D127" s="209">
        <f>H127</f>
        <v>0.5499999999999999</v>
      </c>
      <c r="E127" s="171">
        <v>0</v>
      </c>
      <c r="F127" s="171">
        <v>0.1</v>
      </c>
      <c r="G127" s="187">
        <v>0.055</v>
      </c>
      <c r="H127" s="159">
        <f t="shared" si="2"/>
        <v>0.5499999999999999</v>
      </c>
      <c r="I127" s="170">
        <f>30000000+20700000</f>
        <v>50700000</v>
      </c>
      <c r="J127" s="170">
        <f>30000000+19050000</f>
        <v>49050000</v>
      </c>
      <c r="K127" s="171">
        <f>J127/I127</f>
        <v>0.9674556213017751</v>
      </c>
      <c r="N127" s="215" t="s">
        <v>111</v>
      </c>
      <c r="O127" s="216">
        <v>5</v>
      </c>
      <c r="P127" s="217">
        <v>0.488</v>
      </c>
      <c r="Q127" s="190">
        <f t="shared" si="3"/>
        <v>0</v>
      </c>
      <c r="R127" s="190">
        <f t="shared" si="4"/>
        <v>0</v>
      </c>
      <c r="S127" s="189">
        <v>0</v>
      </c>
    </row>
    <row r="128" spans="14:19" ht="26.25" thickBot="1">
      <c r="N128" s="215" t="s">
        <v>221</v>
      </c>
      <c r="O128" s="216">
        <v>2</v>
      </c>
      <c r="P128" s="217">
        <v>1</v>
      </c>
      <c r="Q128" s="190">
        <f t="shared" si="3"/>
        <v>0</v>
      </c>
      <c r="R128" s="190">
        <f t="shared" si="4"/>
        <v>0</v>
      </c>
      <c r="S128" s="189">
        <v>0</v>
      </c>
    </row>
    <row r="129" spans="14:19" ht="13.5" thickBot="1">
      <c r="N129" s="215" t="s">
        <v>150</v>
      </c>
      <c r="O129" s="216">
        <v>11</v>
      </c>
      <c r="P129" s="217">
        <v>0.3782</v>
      </c>
      <c r="Q129" s="190">
        <f t="shared" si="3"/>
        <v>0</v>
      </c>
      <c r="R129" s="190">
        <f t="shared" si="4"/>
        <v>0</v>
      </c>
      <c r="S129" s="189">
        <v>0</v>
      </c>
    </row>
    <row r="130" spans="14:19" ht="26.25" thickBot="1">
      <c r="N130" s="215" t="s">
        <v>112</v>
      </c>
      <c r="O130" s="216">
        <v>12</v>
      </c>
      <c r="P130" s="217">
        <v>0.7222</v>
      </c>
      <c r="Q130" s="190">
        <f t="shared" si="3"/>
        <v>2401627319</v>
      </c>
      <c r="R130" s="190">
        <f t="shared" si="4"/>
        <v>1550602692</v>
      </c>
      <c r="S130" s="189">
        <f t="shared" si="5"/>
        <v>0.6456466745413467</v>
      </c>
    </row>
    <row r="131" spans="14:19" ht="26.25" thickBot="1">
      <c r="N131" s="215" t="s">
        <v>113</v>
      </c>
      <c r="O131" s="216">
        <v>1</v>
      </c>
      <c r="P131" s="217">
        <v>0.6</v>
      </c>
      <c r="Q131" s="190">
        <f t="shared" si="3"/>
        <v>42300000</v>
      </c>
      <c r="R131" s="190">
        <f t="shared" si="4"/>
        <v>39800000</v>
      </c>
      <c r="S131" s="189">
        <f t="shared" si="5"/>
        <v>0.9408983451536643</v>
      </c>
    </row>
    <row r="132" spans="14:19" ht="13.5" thickBot="1">
      <c r="N132" s="215" t="s">
        <v>114</v>
      </c>
      <c r="O132" s="216">
        <v>19</v>
      </c>
      <c r="P132" s="217">
        <v>0.807</v>
      </c>
      <c r="Q132" s="190">
        <f t="shared" si="3"/>
        <v>695900000</v>
      </c>
      <c r="R132" s="190">
        <f t="shared" si="4"/>
        <v>594990000</v>
      </c>
      <c r="S132" s="189">
        <f t="shared" si="5"/>
        <v>0.8549935335536715</v>
      </c>
    </row>
    <row r="133" spans="14:19" ht="13.5" thickBot="1">
      <c r="N133" s="215" t="s">
        <v>115</v>
      </c>
      <c r="O133" s="216">
        <v>4</v>
      </c>
      <c r="P133" s="217">
        <v>0.75</v>
      </c>
      <c r="Q133" s="190">
        <f t="shared" si="3"/>
        <v>290647294</v>
      </c>
      <c r="R133" s="190">
        <f t="shared" si="4"/>
        <v>91457000</v>
      </c>
      <c r="S133" s="189">
        <f t="shared" si="5"/>
        <v>0.31466661444300253</v>
      </c>
    </row>
    <row r="134" spans="14:19" ht="26.25" thickBot="1">
      <c r="N134" s="215" t="s">
        <v>161</v>
      </c>
      <c r="O134" s="216">
        <v>15</v>
      </c>
      <c r="P134" s="217">
        <v>0.91</v>
      </c>
      <c r="Q134" s="190">
        <f t="shared" si="3"/>
        <v>690086193</v>
      </c>
      <c r="R134" s="190">
        <f t="shared" si="4"/>
        <v>550295516</v>
      </c>
      <c r="S134" s="189">
        <f t="shared" si="5"/>
        <v>0.79743012044294</v>
      </c>
    </row>
    <row r="135" spans="14:19" ht="13.5" thickBot="1">
      <c r="N135" s="215" t="s">
        <v>116</v>
      </c>
      <c r="O135" s="216">
        <v>9</v>
      </c>
      <c r="P135" s="217">
        <v>0.5628</v>
      </c>
      <c r="Q135" s="190">
        <f t="shared" si="3"/>
        <v>188950000</v>
      </c>
      <c r="R135" s="190">
        <f t="shared" si="4"/>
        <v>188950000</v>
      </c>
      <c r="S135" s="189">
        <f t="shared" si="5"/>
        <v>1</v>
      </c>
    </row>
    <row r="136" spans="14:19" ht="26.25" thickBot="1">
      <c r="N136" s="218" t="s">
        <v>208</v>
      </c>
      <c r="O136" s="193">
        <v>1</v>
      </c>
      <c r="P136" s="219">
        <v>0.55</v>
      </c>
      <c r="Q136" s="194">
        <f t="shared" si="3"/>
        <v>50700000</v>
      </c>
      <c r="R136" s="194">
        <f t="shared" si="4"/>
        <v>49050000</v>
      </c>
      <c r="S136" s="189">
        <f t="shared" si="5"/>
        <v>0.9674556213017751</v>
      </c>
    </row>
    <row r="137" spans="14:19" ht="13.5" thickBot="1">
      <c r="N137" s="5"/>
      <c r="O137" s="198">
        <f>SUM(O117:O136)</f>
        <v>125</v>
      </c>
      <c r="P137" s="195">
        <f>(P117+P118+P119+P120+P121+P122+P123+P124+P125+P126+P127+P128+P129+P130+P131+P132+P133+P134+P135+P136)/20</f>
        <v>0.71458</v>
      </c>
      <c r="Q137" s="196">
        <f>SUM(Q117:Q136)</f>
        <v>12169897627</v>
      </c>
      <c r="R137" s="197">
        <f>SUM(R117:R136)</f>
        <v>7688245719.82</v>
      </c>
      <c r="S137" s="189">
        <f t="shared" si="5"/>
        <v>0.6317428425004121</v>
      </c>
    </row>
    <row r="138" ht="12.75">
      <c r="S138" s="211">
        <v>0</v>
      </c>
    </row>
    <row r="139" ht="12.75">
      <c r="S139" s="211">
        <v>1</v>
      </c>
    </row>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sheetData>
  <sheetProtection/>
  <autoFilter ref="H1:H139"/>
  <mergeCells count="105">
    <mergeCell ref="D118:D126"/>
    <mergeCell ref="D54:D55"/>
    <mergeCell ref="D56:D66"/>
    <mergeCell ref="D67:D78"/>
    <mergeCell ref="D80:D98"/>
    <mergeCell ref="D99:D102"/>
    <mergeCell ref="D103:D117"/>
    <mergeCell ref="D18:D19"/>
    <mergeCell ref="D20:D21"/>
    <mergeCell ref="D22:D23"/>
    <mergeCell ref="D24:D27"/>
    <mergeCell ref="D28:D30"/>
    <mergeCell ref="D31:D39"/>
    <mergeCell ref="I1:I2"/>
    <mergeCell ref="J1:J2"/>
    <mergeCell ref="A3:A10"/>
    <mergeCell ref="I3:I4"/>
    <mergeCell ref="J3:J4"/>
    <mergeCell ref="A1:A2"/>
    <mergeCell ref="B1:B2"/>
    <mergeCell ref="E1:E2"/>
    <mergeCell ref="F1:F2"/>
    <mergeCell ref="G1:G2"/>
    <mergeCell ref="I9:I10"/>
    <mergeCell ref="J9:J10"/>
    <mergeCell ref="K9:K10"/>
    <mergeCell ref="A11:A13"/>
    <mergeCell ref="I12:I13"/>
    <mergeCell ref="K3:K4"/>
    <mergeCell ref="I5:I8"/>
    <mergeCell ref="J5:J8"/>
    <mergeCell ref="K5:K8"/>
    <mergeCell ref="D3:D10"/>
    <mergeCell ref="J12:J13"/>
    <mergeCell ref="K12:K13"/>
    <mergeCell ref="A14:A17"/>
    <mergeCell ref="I14:I17"/>
    <mergeCell ref="J14:J17"/>
    <mergeCell ref="K14:K17"/>
    <mergeCell ref="D11:D13"/>
    <mergeCell ref="D14:D17"/>
    <mergeCell ref="A22:A23"/>
    <mergeCell ref="A24:A27"/>
    <mergeCell ref="K18:K19"/>
    <mergeCell ref="A20:A21"/>
    <mergeCell ref="I20:I21"/>
    <mergeCell ref="J20:J21"/>
    <mergeCell ref="K20:K21"/>
    <mergeCell ref="A18:A19"/>
    <mergeCell ref="I18:I19"/>
    <mergeCell ref="J18:J19"/>
    <mergeCell ref="I24:I25"/>
    <mergeCell ref="J24:J25"/>
    <mergeCell ref="K24:K25"/>
    <mergeCell ref="I26:I27"/>
    <mergeCell ref="J26:J27"/>
    <mergeCell ref="K26:K27"/>
    <mergeCell ref="K28:K30"/>
    <mergeCell ref="A31:A39"/>
    <mergeCell ref="I31:I39"/>
    <mergeCell ref="J31:J39"/>
    <mergeCell ref="K31:K39"/>
    <mergeCell ref="A28:A30"/>
    <mergeCell ref="I28:I30"/>
    <mergeCell ref="J28:J30"/>
    <mergeCell ref="K40:K48"/>
    <mergeCell ref="A49:A53"/>
    <mergeCell ref="I49:I53"/>
    <mergeCell ref="J49:J53"/>
    <mergeCell ref="K49:K53"/>
    <mergeCell ref="A40:A48"/>
    <mergeCell ref="I40:I48"/>
    <mergeCell ref="J40:J48"/>
    <mergeCell ref="D40:D48"/>
    <mergeCell ref="D49:D53"/>
    <mergeCell ref="I67:I78"/>
    <mergeCell ref="J67:J78"/>
    <mergeCell ref="K54:K55"/>
    <mergeCell ref="A56:A66"/>
    <mergeCell ref="I56:I66"/>
    <mergeCell ref="J56:J66"/>
    <mergeCell ref="K56:K66"/>
    <mergeCell ref="A54:A55"/>
    <mergeCell ref="I54:I55"/>
    <mergeCell ref="J54:J55"/>
    <mergeCell ref="K103:K117"/>
    <mergeCell ref="A99:A102"/>
    <mergeCell ref="I99:I102"/>
    <mergeCell ref="J99:J102"/>
    <mergeCell ref="K67:K78"/>
    <mergeCell ref="A80:A98"/>
    <mergeCell ref="I80:I98"/>
    <mergeCell ref="J80:J98"/>
    <mergeCell ref="K80:K98"/>
    <mergeCell ref="A67:A78"/>
    <mergeCell ref="K118:K126"/>
    <mergeCell ref="C1:C2"/>
    <mergeCell ref="D1:D2"/>
    <mergeCell ref="A118:A126"/>
    <mergeCell ref="I118:I126"/>
    <mergeCell ref="J118:J126"/>
    <mergeCell ref="K99:K102"/>
    <mergeCell ref="A103:A117"/>
    <mergeCell ref="I103:I117"/>
    <mergeCell ref="J103:J117"/>
  </mergeCells>
  <conditionalFormatting sqref="H3:H127">
    <cfRule type="colorScale" priority="10" dxfId="0">
      <colorScale>
        <cfvo type="percent" val="50"/>
        <cfvo type="percent" val="75"/>
        <cfvo type="max"/>
        <color rgb="FFFF0000"/>
        <color rgb="FFFFFF00"/>
        <color rgb="FF63BE7B"/>
      </colorScale>
    </cfRule>
  </conditionalFormatting>
  <conditionalFormatting sqref="H3:H127">
    <cfRule type="colorScale" priority="6" dxfId="0">
      <colorScale>
        <cfvo type="percent" val="50"/>
        <cfvo type="percent" val="75"/>
        <cfvo type="percent" val="100"/>
        <color rgb="FFFF0000"/>
        <color rgb="FFFFFF00"/>
        <color rgb="FF92D050"/>
      </colorScale>
    </cfRule>
    <cfRule type="colorScale" priority="8" dxfId="0">
      <colorScale>
        <cfvo type="percent" val="25"/>
        <cfvo type="percent" val="50"/>
        <cfvo type="percent" val="100"/>
        <color rgb="FFFF0000"/>
        <color rgb="FFFFFF00"/>
        <color rgb="FF92D050"/>
      </colorScale>
    </cfRule>
    <cfRule type="colorScale" priority="9" dxfId="0">
      <colorScale>
        <cfvo type="percent" val="50"/>
        <cfvo type="percent" val="75"/>
        <cfvo type="percent" val="100"/>
        <color rgb="FFFF0000"/>
        <color rgb="FFFFFF00"/>
        <color rgb="FF92D050"/>
      </colorScale>
    </cfRule>
  </conditionalFormatting>
  <conditionalFormatting sqref="S127">
    <cfRule type="colorScale" priority="3" dxfId="0">
      <colorScale>
        <cfvo type="percent" val="25"/>
        <cfvo type="percent" val="50"/>
        <cfvo type="percent" val="100"/>
        <color rgb="FFF8696B"/>
        <color rgb="FFFFEB84"/>
        <color rgb="FF63BE7B"/>
      </colorScale>
    </cfRule>
  </conditionalFormatting>
  <conditionalFormatting sqref="S117:S137">
    <cfRule type="colorScale" priority="4" dxfId="0">
      <colorScale>
        <cfvo type="percent" val="25"/>
        <cfvo type="percent" val="50"/>
        <cfvo type="percent" val="100"/>
        <color rgb="FFFF0000"/>
        <color rgb="FFFFFF00"/>
        <color rgb="FF92D050"/>
      </colorScale>
    </cfRule>
  </conditionalFormatting>
  <conditionalFormatting sqref="S117:S137">
    <cfRule type="colorScale" priority="2" dxfId="0">
      <colorScale>
        <cfvo type="percent" val="25"/>
        <cfvo type="percent" val="50"/>
        <cfvo type="percent" val="100"/>
        <color rgb="FFFF0000"/>
        <color rgb="FFFFFF00"/>
        <color rgb="FF92D050"/>
      </colorScale>
    </cfRule>
  </conditionalFormatting>
  <conditionalFormatting sqref="K3:K127">
    <cfRule type="colorScale" priority="11" dxfId="0">
      <colorScale>
        <cfvo type="percent" val="50"/>
        <cfvo type="percent" val="75"/>
        <cfvo type="percent" val="100"/>
        <color rgb="FFFF0000"/>
        <color rgb="FFFFFF00"/>
        <color rgb="FF92D050"/>
      </colorScale>
    </cfRule>
    <cfRule type="colorScale" priority="12" dxfId="0">
      <colorScale>
        <cfvo type="percent" val="50"/>
        <cfvo type="percent" val="50"/>
        <cfvo type="percent" val="100"/>
        <color rgb="FFFF0000"/>
        <color rgb="FFFFFF00"/>
        <color rgb="FF92D050"/>
      </colorScale>
    </cfRule>
  </conditionalFormatting>
  <conditionalFormatting sqref="S117:S139">
    <cfRule type="colorScale" priority="1" dxfId="0">
      <colorScale>
        <cfvo type="percent" val="50"/>
        <cfvo type="percent" val="75"/>
        <cfvo type="percent" val="100"/>
        <color rgb="FFFF0000"/>
        <color rgb="FFFFFF00"/>
        <color rgb="FF92D050"/>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P3-DAPM-004</cp:lastModifiedBy>
  <cp:lastPrinted>2021-11-04T18:46:04Z</cp:lastPrinted>
  <dcterms:created xsi:type="dcterms:W3CDTF">2012-06-01T17:13:38Z</dcterms:created>
  <dcterms:modified xsi:type="dcterms:W3CDTF">2021-11-04T18:46:22Z</dcterms:modified>
  <cp:category/>
  <cp:version/>
  <cp:contentType/>
  <cp:contentStatus/>
</cp:coreProperties>
</file>