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185" tabRatio="493" activeTab="0"/>
  </bookViews>
  <sheets>
    <sheet name="SEG_PA_INFRAESTRUCTURA_3T_2021" sheetId="1" r:id="rId1"/>
    <sheet name="CONS0LIDADO" sheetId="2" r:id="rId2"/>
  </sheets>
  <definedNames>
    <definedName name="_xlnm._FilterDatabase" localSheetId="1" hidden="1">'CONS0LIDADO'!$G$1:$G$139</definedName>
    <definedName name="_xlfn._FV" hidden="1">#NAME?</definedName>
    <definedName name="_xlfn.AGGREGATE" hidden="1">#NAME?</definedName>
    <definedName name="_xlnm.Print_Area" localSheetId="0">'SEG_PA_INFRAESTRUCTURA_3T_2021'!$A$1:$AC$134</definedName>
    <definedName name="_xlnm.Print_Titles" localSheetId="0">'SEG_PA_INFRAESTRUCTURA_3T_2021'!$1:$11</definedName>
  </definedNames>
  <calcPr fullCalcOnLoad="1"/>
</workbook>
</file>

<file path=xl/sharedStrings.xml><?xml version="1.0" encoding="utf-8"?>
<sst xmlns="http://schemas.openxmlformats.org/spreadsheetml/2006/main" count="1105" uniqueCount="445">
  <si>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</si>
  <si>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</si>
  <si>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</si>
  <si>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</si>
  <si>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</si>
  <si>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</si>
  <si>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</si>
  <si>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</si>
  <si>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</si>
  <si>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</si>
  <si>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</si>
  <si>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</si>
  <si>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</si>
  <si>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</si>
  <si>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</si>
  <si>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</si>
  <si>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</si>
  <si>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</si>
  <si>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</si>
  <si>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</si>
  <si>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</si>
  <si>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</si>
  <si>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</si>
  <si>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</si>
  <si>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</si>
  <si>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</si>
  <si>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</si>
  <si>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</si>
  <si>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</si>
  <si>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</si>
  <si>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</si>
  <si>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</si>
  <si>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</si>
  <si>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Cultura</t>
  </si>
  <si>
    <t>10,11,16,17</t>
  </si>
  <si>
    <t>acceso de la población colombiana a espacios culturales</t>
  </si>
  <si>
    <t>Promoción y acceso efectivo a procesos culturales y artísticos</t>
  </si>
  <si>
    <t>Servicio de promoción de actividades culturales</t>
  </si>
  <si>
    <t>Alumbrado Navideño</t>
  </si>
  <si>
    <t>5, 8, 10, 11, 17</t>
  </si>
  <si>
    <t>Servicio de asistencia técnica en gestión artística y cultural</t>
  </si>
  <si>
    <t>Estudios y diseños elaborados</t>
  </si>
  <si>
    <t>Deporte y Recreación</t>
  </si>
  <si>
    <t>3, 5, 10, 11, 16</t>
  </si>
  <si>
    <t>población que realiza actividad física en su tiempo libre</t>
  </si>
  <si>
    <t>Fomento a la recreación, la actividad física y el deporte</t>
  </si>
  <si>
    <t>Estudios y diseños de infraestructura recreo-deportiva</t>
  </si>
  <si>
    <t>ECONÓMICO Y COMPETITIVIDAD: "Por Armenia Podemos"</t>
  </si>
  <si>
    <t>Comercio, Industria y Turismo</t>
  </si>
  <si>
    <t>1, 5, 8, 9, 10, 11, 16, 17</t>
  </si>
  <si>
    <t>población ocupada en la industria turística</t>
  </si>
  <si>
    <t>Productividad y competitividad de las empresas colombianas</t>
  </si>
  <si>
    <t>Plazas de mercado mantenida</t>
  </si>
  <si>
    <t xml:space="preserve">Plaza de mercado mantenida  </t>
  </si>
  <si>
    <t>INFRAESTRUCTURA CONSTRUIDA: "Acciones Concretas"</t>
  </si>
  <si>
    <t>Minas y Energia</t>
  </si>
  <si>
    <t>7, 9, 11, 17</t>
  </si>
  <si>
    <t>capacidad instalada de generación de energía eléctrica (mw)</t>
  </si>
  <si>
    <t xml:space="preserve">Consolidación productiva del sector de energía eléctrica  </t>
  </si>
  <si>
    <t>Redes de alumbrado público ampliadas</t>
  </si>
  <si>
    <t>Redes de alumbrado público con mantenimiento</t>
  </si>
  <si>
    <t>Redes de alumbrado público mejoradas</t>
  </si>
  <si>
    <t>3.33%</t>
  </si>
  <si>
    <t>Transporte</t>
  </si>
  <si>
    <t>9, 11</t>
  </si>
  <si>
    <t>red vial urbana en buen estado</t>
  </si>
  <si>
    <t>Infraestructura red vial regional</t>
  </si>
  <si>
    <t>Puentes peatonales construidos</t>
  </si>
  <si>
    <t>Puentes peatonales rehabilitados</t>
  </si>
  <si>
    <t xml:space="preserve">Obras construidas </t>
  </si>
  <si>
    <t>obras financiadas por contribucion de valorizacion  (POR UNIDAD)</t>
  </si>
  <si>
    <t>11200 M2</t>
  </si>
  <si>
    <t>Andén de la red urbana habilitado</t>
  </si>
  <si>
    <t>Andén construido en vía urbana como obra complementaria de seguridad vial</t>
  </si>
  <si>
    <t>red vial terciaria en buen estado</t>
  </si>
  <si>
    <t>750 ML</t>
  </si>
  <si>
    <t>Vía terciaria con obras complementarias  de seguridad vial</t>
  </si>
  <si>
    <t>Vía terciaria con obras complementarias  de seguridad vial en tres comunas de Armenia</t>
  </si>
  <si>
    <t>20.000 M2</t>
  </si>
  <si>
    <t>Vía urbana construida</t>
  </si>
  <si>
    <t xml:space="preserve">Vía urbana construida en pavimento </t>
  </si>
  <si>
    <t>4000 M3</t>
  </si>
  <si>
    <t>Vía urbana rehabilitada</t>
  </si>
  <si>
    <t>11 Unidades</t>
  </si>
  <si>
    <t>Centros culturales adecuados</t>
  </si>
  <si>
    <t xml:space="preserve">Centros culturales adecuados </t>
  </si>
  <si>
    <t>Centro turístico ampliado</t>
  </si>
  <si>
    <t>Malecón ampliado</t>
  </si>
  <si>
    <t>Vivienda</t>
  </si>
  <si>
    <t>8, 9, 11, 16, 17</t>
  </si>
  <si>
    <t>personas con acceso a una solución de alcantarillado</t>
  </si>
  <si>
    <t>400 ml</t>
  </si>
  <si>
    <t xml:space="preserve">Acceso de la población a los servicios de agua potable y saneamiento básico </t>
  </si>
  <si>
    <t>Alcantarillados construidos</t>
  </si>
  <si>
    <t>1 Unidad</t>
  </si>
  <si>
    <t>Servicios de apoyo financiero para la ejecución de proyectos de acueductos y de manejo de aguas residuales</t>
  </si>
  <si>
    <t>Descontaminacion de todas las quebradas del municipio de armenia (Accion Constitucional-popular)</t>
  </si>
  <si>
    <t>Inclusión social</t>
  </si>
  <si>
    <t>1, 5, 9, 10, 16, 17</t>
  </si>
  <si>
    <t>Porcentaje de implementación y seguimiento de La Política pública La Política Pública de Juventud de Armenia</t>
  </si>
  <si>
    <t>2 Unidades</t>
  </si>
  <si>
    <t>Desarrollo Integral de Niños, Niñas, Adolescentes y sus Familias</t>
  </si>
  <si>
    <t>Edificaciones de atención a la primera infancia remodeladas</t>
  </si>
  <si>
    <t xml:space="preserve">Edificaciones  de atención a la primera infancia remodeladas </t>
  </si>
  <si>
    <t>1, 3, 5, 8, 9, 10, 11, 16, 17</t>
  </si>
  <si>
    <t>12 Unidades</t>
  </si>
  <si>
    <t>Parques recreativos adecuados</t>
  </si>
  <si>
    <t xml:space="preserve">Parques adecuados </t>
  </si>
  <si>
    <t>5 Unidades</t>
  </si>
  <si>
    <t>Canchas multifuncionales adecuadas</t>
  </si>
  <si>
    <t xml:space="preserve">Canchas multifuncionales adecuadas </t>
  </si>
  <si>
    <t>8 Unidades</t>
  </si>
  <si>
    <t>Gimnasios al aire libre estáticos</t>
  </si>
  <si>
    <t>Gimnasios al aire libre construidos</t>
  </si>
  <si>
    <t>3 Unidades</t>
  </si>
  <si>
    <t>Cancha construida</t>
  </si>
  <si>
    <t xml:space="preserve">Cancha construida </t>
  </si>
  <si>
    <t>Cancha mantenida</t>
  </si>
  <si>
    <t>Cancha mantenidas</t>
  </si>
  <si>
    <t>Formación y preparación de deportistas</t>
  </si>
  <si>
    <t>Polideportivos mantenidos</t>
  </si>
  <si>
    <t>índice de ciudades modernas</t>
  </si>
  <si>
    <t>Infraestructura Pública</t>
  </si>
  <si>
    <t>Proyectos orientados a la infraestructura pública</t>
  </si>
  <si>
    <t>Infraestructura colectiva</t>
  </si>
  <si>
    <t>Gobierno Territorial</t>
  </si>
  <si>
    <t>5, 9, 10, 11, 12, 16</t>
  </si>
  <si>
    <t>índice de goce efectivo del derecho</t>
  </si>
  <si>
    <t>30 Unidades</t>
  </si>
  <si>
    <t>Salón comunal adecuado</t>
  </si>
  <si>
    <t xml:space="preserve">Salones comunales adecuados </t>
  </si>
  <si>
    <t>20 Unidades</t>
  </si>
  <si>
    <t xml:space="preserve">Participación ciudadana y política y respeto por los derechos humanos y diversidad de creencias </t>
  </si>
  <si>
    <t>Salón comunal construido</t>
  </si>
  <si>
    <t>Salones comunales y Maloka construidos</t>
  </si>
  <si>
    <t>Fortalecimiento de la convivencia y la seguridad ciudadana</t>
  </si>
  <si>
    <t xml:space="preserve">Coso Construido: Construcción del Centro de Atención y Protección Animal  </t>
  </si>
  <si>
    <t>Centros de atención y protección animal construido</t>
  </si>
  <si>
    <t>3, 6, 11</t>
  </si>
  <si>
    <t>Mejoramiento en el espacio urbano</t>
  </si>
  <si>
    <t>Ordenamiento territorial y desarrollo urbano</t>
  </si>
  <si>
    <t>Plazas mejoradas</t>
  </si>
  <si>
    <t xml:space="preserve">Plazas mejoradas </t>
  </si>
  <si>
    <t>INFRAESTRUCTURA NATURAL: "Armenia Capital Verde"</t>
  </si>
  <si>
    <t>1, 5, 8, 9, 10, 11,  17</t>
  </si>
  <si>
    <t>Gestión  de proyectos de infraestructura publica</t>
  </si>
  <si>
    <t xml:space="preserve">Puente de la red vial urbana con mantenimiento </t>
  </si>
  <si>
    <t>Estudios de preinversión para la red vial regional</t>
  </si>
  <si>
    <t xml:space="preserve">Diseño realizado red urbana </t>
  </si>
  <si>
    <t>Estudios de pre inversión e inversión</t>
  </si>
  <si>
    <t xml:space="preserve">Estudios o diseños realizados </t>
  </si>
  <si>
    <t>Servicio de apoyo financiero para subsidios al consumo en los servicios públicos domiciliarios</t>
  </si>
  <si>
    <t>Recursos entregados en subsidios al consumo - EPA</t>
  </si>
  <si>
    <r>
      <t xml:space="preserve">SECRETARÍA O  ENTIDAD RESPONSABLE:  </t>
    </r>
    <r>
      <rPr>
        <b/>
        <u val="single"/>
        <sz val="10"/>
        <rFont val="Arial"/>
        <family val="2"/>
      </rPr>
      <t xml:space="preserve">2.6.SECRETARÍA DE INFRAESTRUCTURA </t>
    </r>
  </si>
  <si>
    <t>VIGENCIA AÑO:2021</t>
  </si>
  <si>
    <t>Infraestructura de los procesos culturales y artisticos del Municipio</t>
  </si>
  <si>
    <t>Mejorar la malla vial del área urbana y rural del municipio</t>
  </si>
  <si>
    <t>Infraestructura procesos culturales y artísticos</t>
  </si>
  <si>
    <t>Brindar espacios adecuados y llamativos que ayuden a reactivar la actividad económica</t>
  </si>
  <si>
    <t>Mejorar las condiciones de vida de las personas de los estratos socio económicos 1,2,3 subsidiando el consumo en los servicios públicos</t>
  </si>
  <si>
    <t>Formulación Transferencia de recursos pasa subsidiar a los estratos uno,dos y tres en acueducto, alcantarillado y aseo Armenia</t>
  </si>
  <si>
    <t>PRODUCTO KPT</t>
  </si>
  <si>
    <t>Recursos asignados, en pesos en el momento presupuestal (Apropiación Definitiva)</t>
  </si>
  <si>
    <t>Fecha: 04/01/2021</t>
  </si>
  <si>
    <t>Versión: 009</t>
  </si>
  <si>
    <t>INDICADOR DE PRODUCTO</t>
  </si>
  <si>
    <t xml:space="preserve">Construcción, reparación, mantenimiento y ampliación de la infraestructura turística del municipio </t>
  </si>
  <si>
    <t xml:space="preserve"> Alumbrado Publico </t>
  </si>
  <si>
    <t>Infraestructura para la actividad fisica, el deporte y la recreación en el Municipio de Armenia</t>
  </si>
  <si>
    <t>Proyecto de Infraestructura Pública y el Desarrollo Urbano</t>
  </si>
  <si>
    <t>Generación de proyectos de infraestructura y el desarrollo urbano de armenia</t>
  </si>
  <si>
    <t>Construcción, reparación,mantenimiento del espacio urbano</t>
  </si>
  <si>
    <t>Formulación Construcción, reparación, mantenimiento e instalación de la infraestructura recreodeportiva del Municipio</t>
  </si>
  <si>
    <t>Brindar espacios adecuados donde los habitantes de la ciudad puedan hacer buen uso del tiempo libre en actividades recreodeportivas.</t>
  </si>
  <si>
    <t>Servicio de abastecimiento óptimo y de calidad en toda la ciudad.</t>
  </si>
  <si>
    <t>106.02.2.3.40.4003.1400.117.4003047.030</t>
  </si>
  <si>
    <t>SGP Agua Potable</t>
  </si>
  <si>
    <t>106.01.2.3.40.4003.1400.107.4003047.674</t>
  </si>
  <si>
    <t>Recursos del Balance Rendimientos financieros por deposito Agua Potable</t>
  </si>
  <si>
    <t>106.01.2.3.40.4003.1400.107.4003047.859</t>
  </si>
  <si>
    <t>Recursos del Balance Reintegros SGP Agua potable-EPA</t>
  </si>
  <si>
    <t>106.01.2.3.40.4003.1400.107.4003047.858</t>
  </si>
  <si>
    <t>Recursos del Balance SGP Agua Potable Y Seneamiento Basico</t>
  </si>
  <si>
    <t>106.02.2.3.40.4003.1400.117.4003047.032</t>
  </si>
  <si>
    <t>Ultima Doceava  SGP Agua Potable</t>
  </si>
  <si>
    <t>Transferencia de recursos a Empresas Públicas de Armenia, para subsidiar a los estratos socioeconómicos uno, dos y tres en lo servicios públicos domiciliarios en  acueducto, alcantarillado y aseo</t>
  </si>
  <si>
    <t>Mantenimiento, mejoramiento y ornamentación del parque de la quindianidad del municipio de Armenia</t>
  </si>
  <si>
    <t>106.01.2.3.40.4002.1400.108.4002032.210</t>
  </si>
  <si>
    <t>Recursos del Balance Propios</t>
  </si>
  <si>
    <t>Servicios de gestión para la elaboración de instrumentos para el desarrollo urbano y territorial</t>
  </si>
  <si>
    <t>106.01.2.3.40.4002.1400.168.4002018.034</t>
  </si>
  <si>
    <t>SGP Proposito General</t>
  </si>
  <si>
    <t>Puente de la red vial urbana con mantenimiento</t>
  </si>
  <si>
    <t>106.01.2.3.24.2402.0600.139.2402050.001</t>
  </si>
  <si>
    <t>Propios</t>
  </si>
  <si>
    <t>Estudios y diseños de infraestructura deportiva de alto rendimiento</t>
  </si>
  <si>
    <t>106.01.2.3.43.4302.1604.104.4302073.001</t>
  </si>
  <si>
    <t>106.01.2.3.33.3301.1603.111.3301053.001</t>
  </si>
  <si>
    <t>106.01.2.3.33.3301.1603.111.3301095.001</t>
  </si>
  <si>
    <t>Convenio interadministrativo entre el municipio de Armenia y la empresa de energía del Quindío S.A. ESP empresa de servicios públicos -EDEQ S.A  ESP, para unir esfuerzos económicos para contratar el arrendamiento y puesta en funcionamiento del alumbrado navideño en el Municipio de Armenia</t>
  </si>
  <si>
    <t>Contrato de consultoria para estudios y diseños de la infraestructura para la gestión artística y cultural</t>
  </si>
  <si>
    <t>Edificaciones de atención a la primera infancia remodelada</t>
  </si>
  <si>
    <t>106.01.2.3.41.4102.1500.115.4102007.001</t>
  </si>
  <si>
    <t>Para gestión de proyectos de infraestructura publica :  Interventoría contractual, técnica, jurídica, administrativa, financiera, social y ambiental al contrato de obra para la ampliación, remodelación, y actualización física de la unidad intermedia del sur (Hospital del Sur) de la ESE RED SALUD Armenia -Fase1</t>
  </si>
  <si>
    <t>Contrato de obra pública para el mantenimiento de puentes vehiculares de la red vial urbana en diferentes sectores del municipio de Armenia</t>
  </si>
  <si>
    <t>Brindar espacios adecuados donde los comerciantes puedan desarrollar su actividad económica</t>
  </si>
  <si>
    <t>Estudios de pre inversión e inversión para el mejoramiento del espacio urbano</t>
  </si>
  <si>
    <t>Estudios de pre inversión e inversión para el mejoramiento del espacio urbano de Armenia</t>
  </si>
  <si>
    <t>Elaboración de estudios y diseños tendientes a la optimización, construcción y/o mejoramiento de la infraestructura vial y/o colectiva en diferentes sectores de la ciudad de Armenia.</t>
  </si>
  <si>
    <t>106.01.2.3.40.4002.1400.118.4002034.210</t>
  </si>
  <si>
    <t>Puente peatonal de la red urbana construido</t>
  </si>
  <si>
    <t>Puente peatonal de la red urbana mejorado</t>
  </si>
  <si>
    <t>Andén de la red urbana rehabilitado</t>
  </si>
  <si>
    <t>Servicio de apoyo financiero a los planes, programas y proyectos de Agua Potable y Saneamiento Básico</t>
  </si>
  <si>
    <t>Coso municipal construido y dotado</t>
  </si>
  <si>
    <t>Mantenimiento de la infraestructura de los centros de acopio</t>
  </si>
  <si>
    <t xml:space="preserve">Construcción, ampliación y mejoramiento del espacio público </t>
  </si>
  <si>
    <t>Construcción,reparación, Mantenimiento y  adecuación de centros culturales</t>
  </si>
  <si>
    <t>N/A</t>
  </si>
  <si>
    <t>MS Para redes de alumbrado publico ampliadas, mejoradas y con mantenimiento : Contrato de suministro de materiales para ampliación de las redes de alumbrado público en diferentes sectores del municipio de Armenia.</t>
  </si>
  <si>
    <t>106.01.2.3.21.2102.1900.006.2102011.191</t>
  </si>
  <si>
    <t>106.01.2.3.21.2102.1900.006.2102011.918</t>
  </si>
  <si>
    <t>REC BCE ALUMBRADO PUBLICO</t>
  </si>
  <si>
    <t>ALUMBRADO PUBLICO CSF</t>
  </si>
  <si>
    <t>MS Para redes de alumbrado publico ampliadas, mejoradas y con mantenimiento :Suministro de energia  para las redes del alumbrado publico ampliadas, mejoradas y con mantenimiento</t>
  </si>
  <si>
    <t>1.1.4 Para redes de alumbrado publico ampliadas, mejoradas y con mantenimiento :Pago a la Concesión y a la Interventoria al contrato de concesión del alumbrado público</t>
  </si>
  <si>
    <t>1.1.2  para redes de aumbrado publico ampliadas, mejoradas y con mantenimiento :  contrato de prestacion de servicios profesionales (ingenieros electricos, financieros , abogados) para apoyar  las  etapas  contractuales,  acompañamiento  tecnico, juridico y financiero a la supervision  y seguimientos al   contrato de concesión y al contrato de interventoría del alumbrado púbico</t>
  </si>
  <si>
    <t>1.1.5 Para redes de alumbrado publico ampliadas, mejoradas y con mantenimiento : contratos de prestación de servicios de apoyo a la gestión para el acompañamiento en aspectos técnicos (técnico electricista, tecnólogo) y administrativos para la atención a la comunidad y gestión documental</t>
  </si>
  <si>
    <t>Recuperación Cartera</t>
  </si>
  <si>
    <t xml:space="preserve">1.1.1  Para puentes peatonales construidos y rehabilitados: contrato de prestación de servicios profesionales (ingenieros, arquitectos, abogados) para apoyar las etapas precontractuales, contractuales, post contractuales; acompañamiento técnico en la supervisión y seguimientos al proceso de ejecución de obras; acompañamiento en los aspectos jurídicos, defensa judicial; diseños, estudios previos, presupuestos, visitas técnicas </t>
  </si>
  <si>
    <t>1.1.5 Para puentes peatonales construidos y rehabilitados: Contratos de prestación de servicios Profesionales (administrativos y financieros) apoyo en las etapas precontractuales, evaluación financiera de las propuestas, revisión de cuentas para tramite de pagos, solicitudes de documentos para el proceso de contratación, elaboración de informes, elaboración y seguimiento a la ejecución presupuestal, proyectos de inversión, planes de acción e indicativo de la secretaria</t>
  </si>
  <si>
    <t>1.1.6 Para puentes peatonales construidos y rehabilitados: Contratos de prestación de servicios de apoyo a la gestión para el acompañamiento en aspectos técnicos,   apoyo al seguimiento a la ejecución de obras, acompañamiento en la gestión documental, entrega de correspondencia interna y externa; apoyo en la elaboración de los precios unitarios y presupuestos de obra, visitas técnicas y atención a la comunidad, levantamientos topograficos, conducción de maquinaria pesada y volquetas</t>
  </si>
  <si>
    <t>1.1.7 Para puentes peatonales construidos y rehabilitados: contrato Interadministrativo o contrato de prestación de servicios  para poyar a la Secretaría de Infraestructura en el fortalecimiento de las obras de infraestructura vial. Recreodeportiva y social del Municipio</t>
  </si>
  <si>
    <t>1.1.9 Para Puentes peatonales construidos y rehabilitados:suministro de combustible, gas vehicular, aceite, lubricantes, grasas, llantas, repuestos originales tanto para las volquetas como para la maquinaria pesada</t>
  </si>
  <si>
    <t xml:space="preserve"> 1.1.10 Para Puentes peatonales construidos y rehabilitados: Suministro de elementos y materiales de ferretería y construcción para atender diferentes necesidades y proyectos del municipio de Armenia</t>
  </si>
  <si>
    <t>MS Contrato de obra pública para el mantenimiento de puentes peatonales en diferentes sectores del municipio de Armenia.</t>
  </si>
  <si>
    <r>
      <t>1.1.11 Para Puentes peatonales construidos y rehabilitados:Prestación de servicios de fotocopiado en blanco y negro, fotocopiado a color, argollado, empastado, fotocopiado de fotoplano (plotter), para las diferentes dependencias de la Administración Municipa</t>
    </r>
    <r>
      <rPr>
        <sz val="10"/>
        <color indexed="63"/>
        <rFont val="Calibri"/>
        <family val="2"/>
      </rPr>
      <t>l</t>
    </r>
  </si>
  <si>
    <t>106.01.2.3.24.2402.0600.109.2402131.001</t>
  </si>
  <si>
    <t>106.01.2.3.24.2402.0600.109.2402131.581</t>
  </si>
  <si>
    <t>Recursos del Balance SGP Proposito General</t>
  </si>
  <si>
    <t>106.03.2.3.24.2402.0600.109.2402113.311</t>
  </si>
  <si>
    <t>Contribución por Valorización</t>
  </si>
  <si>
    <t>106.03.2.3.24.2402.0600.109.2402113.917</t>
  </si>
  <si>
    <t>Recursos del Balance Reintegros de Valorización</t>
  </si>
  <si>
    <t>MS contratos de  obra y/o interventoría para la ejecución de los proyectos incluidos en el plan de obras de valorización</t>
  </si>
  <si>
    <t>MS Andén construido en vía urbana como obra complementaria de seguridad vial:Contrato de obra pública para la construcción de andenes en diferentes sectores del municipio de Armenia.</t>
  </si>
  <si>
    <t>106.01.2.3.24.2402.0600.109.2402127.001</t>
  </si>
  <si>
    <t>106.01.2.3.24.2402.0600.109.2402127.581</t>
  </si>
  <si>
    <t>MS Para vías terciarias con obras complementarias de seguridad vial: suministro e instalación de llantas para los diferentes vehiculos que hacen parte del parque automotor de la administración municipal de Armenia-Quindío</t>
  </si>
  <si>
    <t>MS Para vías terciarias con obras complementarias de seguridad vial: Prestar el servicio de mantenimiento preventivo y correctivo integral a todo costo, para los vehiculos y maquinaria de propiedad del Municipio de Armenia-Quindío</t>
  </si>
  <si>
    <t>MS Convenio de cooperación  entre  el municipio de Armenia y la Federación Nacional de Cafeteros-Comité Departamental de Cafeteros del Quindío (como administradora del Fondo Nacional del Café) para  aunar esfuerzos técnicos, administrativos y financieros para el mantenimiento de vías terciarias en el corregimiento el Caimo del municipio de Armenia.</t>
  </si>
  <si>
    <t>1.4.4 Para vias terciarias con obras complementarias de seguridad: Suministro de elementos y materiales de ferretería y construcción para atender diferentes necesidades y proyectos del municipio de Armenia</t>
  </si>
  <si>
    <t>1.4.5 Para vías terciarias con obras complementarias de seguridad vial:Contrato de prestación de servicios de apoyo a la gestión (tecnologo en obras civiles, topografos) para apoyo y seguimiento tecnico a las obras, levantamientos topograficos, elaboración de precios unitarios y presupuestos de obras, visitas tecnicas y atención  a la comunidad</t>
  </si>
  <si>
    <t>106.01.2.3.24.2402.0600.109.2402049.001</t>
  </si>
  <si>
    <t>106.01.2.3.24.2402.0600.109.2402049.582</t>
  </si>
  <si>
    <t>Recursos del Balance Ultima Doceava SGP Proposito General</t>
  </si>
  <si>
    <t>Construcción, Mantenimiento y Obras complementarias a la infraestructura vial tanto urbana como rural del Municipio</t>
  </si>
  <si>
    <t>1.5.1 vías urbanas mantenidas, rehabilitadas y construidas en pavimento asfaltico o rígido: contrato de prestación de servicios profesionales (ingenieros, arquitectos, abogados)para apoyar las etapas precontractuales, contractuales y poscontractuales; acompañamiento técnico en la supervisión y seguimientos al proceso de ejecución de obras; acompañamiento en los aspectos juridicos, defensa judicial; diseños, estudios previos, presupuestos, visitas técnicas</t>
  </si>
  <si>
    <t xml:space="preserve">1.5.5 Para vías urbanas mantenidas, rehabilitadas y construidas: contratos de prestación de servicios Profesionales (administrativos y financieros) apoyo en las etapas precontractuales, evaluación financiera de las propuestas, revisión de cuentas para tramite de pagos, solicitudes de documentos para el proceso de contratación, acompañamiento en la elaboración de informes, a la ejecución presupuestal, a los proyectos de inversión, a los planes de acción e indicativo de la secretaria </t>
  </si>
  <si>
    <t>MS Para vías urbanas mantenidas, rehabilitadas y construidas: contratos de prestación de servicios Profesionales y de apoyo a la gestión  para la conformacion del equipo tecnico necesario para la estructuracion de los procesos tendiente a realizar el analisis tecnico, juridico, admnistrativo y financiero del plan de obras de valorización.</t>
  </si>
  <si>
    <r>
      <t>MS Para vías urbanas mantenidas, rehabilitadas y construidas: Contrato de obra para el Mantenimiento de la malla vial en asfalto y en pavimento rígido  en diferentes sectores de la ciudad;Construcción obras de estabilización en el tramo de vía comprendido entre la glorieta Malibú y el Barrio Portal de Pinares;</t>
    </r>
    <r>
      <rPr>
        <sz val="10"/>
        <color indexed="10"/>
        <rFont val="Arial"/>
        <family val="2"/>
      </rPr>
      <t xml:space="preserve"> </t>
    </r>
    <r>
      <rPr>
        <sz val="10"/>
        <rFont val="Arial"/>
        <family val="2"/>
      </rPr>
      <t>Interventoría contractual, técnica, jurídica, administrativa, financiera, social y ambiental al contrato de obra para el Mantenimiento de la malla vial en asfalto y en pavimento rígido  en diferentes sectores de la ciudad;interventoría contractual, técnica, jurídica, administrativa, financiera, social y ambiental para la ejecución del proyecto denominado “Construcción obras de estabilización en el tramo de vía comprendido entre la Glorieta Malibú y el barrio Portal de Pinares;Interventoría contractual, técnica, jurídica, administrativa, financiera, social y ambiental para la ejecución del proyecto denominado “Manejo de aguas de escorrentía en el punto crítico sector Portal de Pinares y Glorieta Malibú</t>
    </r>
  </si>
  <si>
    <t>MS Apoyo y colaboración entre la universidad y la administración municipal de Armenia para que los estudiantes de la Facultad de Ingeniería, Programa de Ingeniería Civil de la universidad, realicen la práctica académica en la dependencia de la Secretaría de Infraestructura.</t>
  </si>
  <si>
    <t>MS Para vías urbanas mantenidas, rehabilitadas y construidas: Suministro de concreto asfaltico MDC-19 para la habilitación vial del municipio de armenia</t>
  </si>
  <si>
    <t>MS Para vías urbanas mantenidas, rehabilitadas y construidas:  Interventoría contractual, técnica, jurídica, administrativa, financiera, social y ambiental  para la ejecución del proyecto de obra denominado Mantenimiento de la malla vial en asfalto y en pavimento rígido  en diferentes sectores de la ciudad;interventoría contractual, técnica, jurídica, administrativa, financiera, social y ambiental para la ejecución del proyecto de obra denominado “Construcción obras de estabilización en el tramo de vía comprendido entre la Glorieta Malibú y el barrio Portal de Pinares</t>
  </si>
  <si>
    <t>1.5.8 Para vías urbanas mantenidas, rehabilitadas y construidas: suministro cartuchos de tinta, cintas y tóner nuevos y recarga de los mismos, para ser distribuidos como insumos a los equipos de impresión ; Suministro de papelería blanca y útiles de escritorio para ser distribuidos como insumo; Prestación de servicios de fotocopiado en blanco y negro, fotocopiado a color, argollado, empastado, fotocopiado de fotoplano (plotter), todo va para las diferentes dependencias de la Administración Municipal</t>
  </si>
  <si>
    <t>MS.Para vías urbanas mantenidas, rehabilitadas y construidas:encargo fiduciario de administración y pagos No 001 de los recursos correspondientes a los contratos derivados del Convenio Interadministrativo No 516 de 2016, suscrito entre Prosperidad Social y la Entidad Territorial Municipio de Armenia, Quindío</t>
  </si>
  <si>
    <t>MS Para vías urbanas mantenidas, rehabilitadas y construidas: prestación de servicios de transporte especial terrestre  para el desplazamiento del personal, materiales y equipos de las dependencias del nivel central de la administración municipal y/o para la ejecución de los proyectos de inversión</t>
  </si>
  <si>
    <t>106.01.2.3.24.2402.0600.109.2402116.001</t>
  </si>
  <si>
    <t>106.01.2.3.24.2402.0600.109.2402116.210</t>
  </si>
  <si>
    <t>106.01.2.3.24.2402.0600.109.2402116.022</t>
  </si>
  <si>
    <t>Recursos del Balance Reintregros SGP</t>
  </si>
  <si>
    <t>106.01.2.3.24.2402.0600.109.2402116.009</t>
  </si>
  <si>
    <t>Recursos del Balance Rendimientos Financieros SGP</t>
  </si>
  <si>
    <t>106.01.2.3.24.2402.0600.109.2402116.581</t>
  </si>
  <si>
    <t>106.01.2.3.24.2402.0600.109.2402116.582</t>
  </si>
  <si>
    <t>106.01.2.3.24.2402.0600.109.2402116.034</t>
  </si>
  <si>
    <t>106.01.2.3.24.2402.0600.109.2402049.403</t>
  </si>
  <si>
    <t>Recursos del Balance Rendimientos Financieros Propios</t>
  </si>
  <si>
    <t>106.01.2.3.24.2402.0600.109.2402049.581</t>
  </si>
  <si>
    <t>106.01.2.3.24.2402.0600.109.2402049.210</t>
  </si>
  <si>
    <t>MS   para alcantarillados construidos y ampliados : Convenio interadministrativo de transferencia de recursos para aunar esfuerzos  administrativos para la optimización del alcantarillado de los  barrios La Clarita, La Isabela, Zuldemaida y Simon Bolivar del municipio de Armenia.</t>
  </si>
  <si>
    <t>MS Para Alcantarillados construidos y ampliadosAcuerdo conciliatorio celebrado entre el Consorcio Calle 26 y el municipio de Armenia en la forma y términos establecidos en diligencia realizada el 15 de septiembre de 2020 ante la Procuraduría 99 Judicial (I)  para Asuntos Administrativos de Armenia.</t>
  </si>
  <si>
    <t>106.01.2.3.40.4003.1400.107.4003019.210</t>
  </si>
  <si>
    <t>106.01.2.3.40.4003.1400.107.4003019.581</t>
  </si>
  <si>
    <t>106.01.2.3.40.4003.1400.107.4003019.034</t>
  </si>
  <si>
    <t>SGP PROPOSITO GENERAL LIBRE INVERSION</t>
  </si>
  <si>
    <t>106.01.2.3.40.4003.1400.107.4003019.858</t>
  </si>
  <si>
    <t>Recursos del Balance SGP Agua Potable Y Saneamiento Basico</t>
  </si>
  <si>
    <t>106.01.2.3.40.4003.1400.107.4003019.930</t>
  </si>
  <si>
    <t>APORTES DE LA NACION-CONVENIO 938 MINVIVIENDA</t>
  </si>
  <si>
    <t xml:space="preserve">MS Para Parques recreativos adecuados: Ejecución del proyecto de obra denominado  Construcción de cancha de futbol 9 y escenarios complementarios recreodeportivos en el Barrio El Placer del Municipio de Armenia Quindio </t>
  </si>
  <si>
    <t xml:space="preserve">MS Contrato de obra pública para el mantenimiento y mejoramiento de parques y escenarios recreo deportivos en distintas comunas del municipio de Armenia.
</t>
  </si>
  <si>
    <t>MS  Contrato de obra pública para la adecuación y amoblamiento del terminal de ruta Puerto Espejo en el municipio de armenia.</t>
  </si>
  <si>
    <t>MS Para Parques recreativos adecuados:interventoría  contractual, técnica, jurídica, administrativa, financiera, social y ambiental para el proyecto de  obra denominado “Construcción de cancha de futbol 9 y escenarios complementarios recreodeportivos en el Barrio El Placer del Municipio de Armenia Quindio ”</t>
  </si>
  <si>
    <t>106.01.2.3.43.4301.1604.173.4301011.677</t>
  </si>
  <si>
    <t>Recursos del Balance Aprovechamiento Urbanistico adicional</t>
  </si>
  <si>
    <t>106.01.2.3.43.4301.1604.173.4301011.210</t>
  </si>
  <si>
    <t>106.01.2.3.43.4301.1604.173.4301011.001</t>
  </si>
  <si>
    <t>1.2.2 para canchas multifuncionales adecuadas, canchas construida y mantenidas: contrato de prestación de servicios de apoyo a la gestión para acompañamiento técnico en la supervisión y seguimiento de ejecución de obras;  visitas técnicas, elaboración de  informes financieros, seguimiento al plan de desarrollo, plan indicativo, plan de acción, informes de gestión, plan de calidad, conducción de maquinaria pesada y volquetas, correspondencia  interna y externa, gestión documental y tablas de retención</t>
  </si>
  <si>
    <t>1.2.3 Para Canchas Multifuncionales adecuadas, canchas construidas y mantenidas: Contrato Interadministrativo o contrato de prestación de servicios  para poyar a la Secretaría de Infraestructura en el fortalecimiento de las obras de infraestructura vial. Recreodeportiva y social del Municipio</t>
  </si>
  <si>
    <t>1.2.4  para canchas multifuncionales adecuadas, canchas construida y mantenidas: Suministro de elementos y materiales de ferretería y construcción para atender diferentes necesidades y proyectos del municipio de Armenia</t>
  </si>
  <si>
    <t>1.2.6  para canchas multifuncionales adecuadas, canchas construida y mantenidas:contratosprestación de servicios Profesionales (administrativos y financieros) en las etapas precontractuales,evaluación financiera de las propuestas,revisión de cuentas para tramite de pagos, solicitudes de documentos
en el proceso de contratación, apoyo en la elaboración de informes, apoyo y seguimiento a la ejecución presupuestal, elaboración y seguimiento a los proyectos de inversión y planes de acción indicativo</t>
  </si>
  <si>
    <t>1.2.1 para canchas multifuncionales adecuadas,canchas construida y mantenidas:Contratos de Prestación de Servicios Profesionales(ingenieros, arquitectos,abogados) para las etapas precontractuales,contractuales y poscontractuales; acompañamiento en los aspectos juridicos, defensa judicial;diseños,estudios previos, presupuestos, visitas técnicas, informes financieros,en la supervisión y seguimiento de ejecución de obras; seguimiento al plan de desarllo,plan indicativo, plan de acción, informe de gestión</t>
  </si>
  <si>
    <t>MS Para Gimnasios al aire libre construidos, y polideportivos mantenidos: Contrato de  suministro e instalación de gimnasios al aire libre en diferentes sectores del municipio de Armenia</t>
  </si>
  <si>
    <t>1.3.1 para gimnasio al aire libre construidos y polideportivos mantenido
:Contratos-Prestación de Servicios Profesionales (ingenieros, arquitectos, abogados) para apoyar  las etapas precontractuales, contractuales y poscontractuales; acompañamiento en los aspectos juridicos, defensa judicial; diseños, estudios previos, presupuestos,visitas técnicas, informes financiero, apoyo en la supervisión y seguimiento al proceso de ejecución de obras;plan de desarrollo,plan indicativo, plan de acción,infomes de gestion</t>
  </si>
  <si>
    <t>MS Para Gimnasios al aire libre construidos, y polideportivos mantenidos:prestación de servicios de transporte especial terrestre  para el desplazamiento del personal, materiales y equipos de las dependencias del nivel central de la administración municipal y/o para la ejecución de los proyectos de inversión</t>
  </si>
  <si>
    <t>MS Para Gimnasios al aire libre construidos, y polideportivos mantenidos: Contrato de obra pública para mantenimiento de polideportivos en diferentes sectores del municipio de Armenia.</t>
  </si>
  <si>
    <t>MS Para Gimnasios al aire libre construidos y polideportivos mantenidos  contrato Interadministrativo o contrato de prestación de servicios  para apoyar a la Secretaría de Infraestructura en el fortalecimiento de las obras de infraestructura vial. Recreodeportiva y social del Municipio</t>
  </si>
  <si>
    <t>106.01.2.3.43.4302.1604.173.4302068.001</t>
  </si>
  <si>
    <t xml:space="preserve">MS para  salones comunales adecuados: Contrato de obra pública para el mantenimiento y/o adecuación de salones comunales en diferentes comunas del municipio de Armenia. </t>
  </si>
  <si>
    <t>MS para  salones comunales adecuados :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</si>
  <si>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MS Para salones comunales construidos: Contrato de obra pública para la construcción de un salon comunal en el municipio de Armenia.</t>
  </si>
  <si>
    <t>M.S  Para salones comunales construidos: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</si>
  <si>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106.01.2.3.45.4502.1000.116.4502003.001</t>
  </si>
  <si>
    <t>106.01.2.3.45.4502.1000.116.4502007.001</t>
  </si>
  <si>
    <t>ANDRÉS MAURICIO CHACÓN ÁNGEL</t>
  </si>
  <si>
    <t>JOSE MANUEL RIOS MORALES</t>
  </si>
  <si>
    <t>SECRETARIO DE INFRAESTRUCTURA</t>
  </si>
  <si>
    <t>Efectuar la administración, inversión, modernización y expansión de las redes de alumbrado público.</t>
  </si>
  <si>
    <t xml:space="preserve">MS Para descontaminación de quebradas  :Convenio interadministrativo de cooperación para aunar esfuerzos técnicos, administrativos y financieros  entre Empresas Públicas de Armenia y el municipio para la construcción y/o optimización y/o rehabilitación de redes de alcantarillado en diferentes sectores del municipio de Armenia. </t>
  </si>
  <si>
    <t>MS Para  descontaminación de quebradas: contrato de obra para la estabilización colector  La Aldana; contrato para obras de acueducto, alcantarillado y manejo de aguas residuales y/o interventoria técnica, administrativa, financiera, contable, ambiental y jurídica; convenios y/o contratos interadministrativos</t>
  </si>
  <si>
    <t>106.01.2.3.40.4003.1400.107.4003008.030</t>
  </si>
  <si>
    <t>SGP Agua Potable Y Seneamiento Basico</t>
  </si>
  <si>
    <t>106.01.2.3.40.4003.1400.107.4003008.858</t>
  </si>
  <si>
    <t>BRINDAR ESPACIOS ADECUADOS DONDE LOS COMERCIANTES PUEDAN DESARROLLAR SU ACTIVIDAD ECONÓMICA</t>
  </si>
  <si>
    <t>Contrato de obra para: reparación, mantenimiento, adecuación,
remodelación de las plazas de mercado</t>
  </si>
  <si>
    <t>GESTIONAR ANTE AUTORIDADES MUNICIPALES LA ADECUACIÓN Y CONSERVACIÓN DE ESPACIOS CULTURALES Y
ARTÍSTICOS</t>
  </si>
  <si>
    <t>ADECUACIÓN DE LOS CENTROS CULTURALES Y ARTÍSTICOS DEL MUNICIPIO Armenia</t>
  </si>
  <si>
    <t>Contrato de obra para la ampliación del centro turistico</t>
  </si>
  <si>
    <t>Contrato de obra para la ampliación del Malecon</t>
  </si>
  <si>
    <t>CONSTRUCCIÓN , REPARACIÓN , MANTENIMIENTO Y AMPLIACIÓN DE LA INFRAESTRUCTURA PARA LA PRIMERA
INFANCIA Armenia</t>
  </si>
  <si>
    <t>BRINDAR ESPACIOS ADECUADOS PARA LA ATENCIÓN A LA PRIMERA INFANCIA</t>
  </si>
  <si>
    <t>BRINDAR ESPACIOS ADECUADOS DONDE LOS HABITANTES DE LA CIUDAD PUEDAN HACER BUEN USO DEL TIEMPO LIBRE EN
ACTIVIDADES RECREODEPORTIVAS</t>
  </si>
  <si>
    <t>Infraestructura de la red vial urbana Armenia</t>
  </si>
  <si>
    <t>INFRAESTRUCTURA DE LA RED VIAL DE ARMENIA</t>
  </si>
  <si>
    <t>Construcción,reparación, mantenimiento de centro de protección animal Armenia</t>
  </si>
  <si>
    <t>BRINDAR ESPACIOS APARA LOS ANIMALES D CON LA DEBIDA CONCATENAN Y PROTECCIÓN</t>
  </si>
  <si>
    <t>Proyectos orientados a la infraestructura pública Armenia</t>
  </si>
  <si>
    <t>BRINDAR ESPACIOS ADECUADOS DONDE LOS HABITANTES DE LA CIUDAD PUEDAN HACER BUEN USO DEL TIEMPO LIBRE</t>
  </si>
  <si>
    <t>BRINDAR ESPACIOS ADECUADOS DONDE LOS HABITANTES DE LA CIUDAD SE PUEDAN REUNIR COMO COMUNIDAD Y
MEJOREN SU CALIDAD DE VIDA , ESPACIOS DONDE LOS ANIMALES CUENTE CON LA DEBIDA ATENCIÓN Y PROTECCIÓN</t>
  </si>
  <si>
    <t>Contrato de consultoría para los estudios y diseños de la red vial en las fases de pre factibilidad, factibilidad o definitivos.</t>
  </si>
  <si>
    <t>Contrato de prestación de servicios de apoyo a la gestión, tendiente a la determinación del impuesto de alumbrado publico de contribuyentes no regulados y asistencia en la elaboración de acuerdos de pago y actividades de ejecución.</t>
  </si>
  <si>
    <t>Contrato de consultoria , interventoria , estudio diseño , topografía, estructural (para la construcción de puentes y obras complementaria); Contrato de obra para la construcción de puentes y obras complementarias</t>
  </si>
  <si>
    <t>CONTRATO DE OBRA DEL CENTRO DE PROTECCIÓN ANIMAL</t>
  </si>
  <si>
    <t xml:space="preserve"> </t>
  </si>
  <si>
    <t>172 M3</t>
  </si>
  <si>
    <t>MS Elaboración de estudios y diseños para la adecuación de escenarios deportivos comprometidos para el desarrollo de los XXII juegos deportivos nacionales y VI juegos deportivos paranacionales 2023.</t>
  </si>
  <si>
    <t>MS Para la construcción,reparación,mantenimiento y ampliación de la infraestructura para la primera infancia: Contrato de obra pública para el mantenimiento y/o adecuación de una edificación  para la atención de la primera infancia en el municipio de Armenia.</t>
  </si>
  <si>
    <t>Contrato de Obra y /o convenio con Empresas Públicas de Armenia para la construcción de redes de alcantarillado</t>
  </si>
  <si>
    <t>Contratos de obra para el mantenimiento y/o adecuación de los centros culturales y artisticos del municipio</t>
  </si>
  <si>
    <t>1.3.1 para gimnasio al aire libre construidos y polideportivos mantenido:Contratos-Prestación de Servicios Profesionales (ingenieros, arquitectos, abogados) para las etapas precontractuales, contractuales y poscontractuales; acompañamiento en los aspectos juridicos, defensa judicial; diseños, estudios previos, presupuestos,visitas técnicas, informes financiero, apoyo en la supervisión y seguimiento al proceso deejecución de obras;plan de desarrollo,plan indicativo, plan de acción,infomes de gestion</t>
  </si>
  <si>
    <t>CONTRATOS DE CONSULTORIA PARA LOS ESTUDIOS Y DISEÑOS DE LA INFRAESTRUCTURA COLECTIVA DEL MUNICIPIO (CONSTRUCCIÓN, REPARACIÓN, MANTENIMIENTO, REHABILITACIÓN Y
ADECUACIÓN)</t>
  </si>
  <si>
    <t xml:space="preserve"> Infraestructura red vial regional</t>
  </si>
  <si>
    <t>Código: R-DP-PDE-060</t>
  </si>
  <si>
    <t xml:space="preserve">SEGUIMIENTO AL PLAN DE ACCIÓN                         </t>
  </si>
  <si>
    <t xml:space="preserve">Unidad Ejecutora: </t>
  </si>
  <si>
    <t>Periodo de corte:   1 de Enero al 30 de Septiembre de 2021</t>
  </si>
  <si>
    <t>Valor de la meta del indicador de producto del proyecto a la fecha de corte</t>
  </si>
  <si>
    <t>Semáforo Alcance de la Meta:
Verde Oscuro  (100%) 
 Amarillo (75%) 
Rojo (50%)</t>
  </si>
  <si>
    <t>% avance de la meta del indicador del proyecto a la fecha de corte</t>
  </si>
  <si>
    <t>Recursos ejecutados en pesos en el momento presupuestal (Reg. Presupuestal)</t>
  </si>
  <si>
    <t>Población beneficiada con la actividad</t>
  </si>
  <si>
    <t>Lugar geográfico en que se desarrolla la actividad</t>
  </si>
  <si>
    <t>Observaciones a la fecha del corte por actividad o total del proyecto</t>
  </si>
  <si>
    <t>% ejecución presupuestal a la fecha de corte</t>
  </si>
  <si>
    <t>EFICIENCIA LOGRO Y/O ALCANCE DE LA META</t>
  </si>
  <si>
    <t xml:space="preserve">EFICACIA PRESUPUESTAL </t>
  </si>
  <si>
    <t xml:space="preserve">COBERTURA </t>
  </si>
  <si>
    <t>OBSERVACION</t>
  </si>
  <si>
    <t>106.01.2.3.33.3301.1603.111.3301053.210</t>
  </si>
  <si>
    <t>Habitantes del municipio de Armenia</t>
  </si>
  <si>
    <t>Área urbana del municipio</t>
  </si>
  <si>
    <t>Se encuentra en proceso la elaboración del convenio con la EDEQ</t>
  </si>
  <si>
    <t xml:space="preserve">Se encuentra en el Departamento Juridico para revisión el proceso de intervdención  del edificio Republicano. </t>
  </si>
  <si>
    <t>Se encuentra en ejecución la consultoria</t>
  </si>
  <si>
    <t xml:space="preserve">por gestión se han  realizado mesas de trabajo con la Concesión de alumbrado público con el fin de ajustar el balance para obtener un valor real de los excendentes que permitan dimensionar la totalidad de la expansión que se pueda ejecutar. </t>
  </si>
  <si>
    <t>Contratos de prestación de servicios profesionales proyectado 11 meses con ejecución de 7 meses a la fecha de corte</t>
  </si>
  <si>
    <t>Proyección a 12 meses  de pagos a la concesión y a la interventoría del alumbrado público  de los cuales se han pagado 5 a la fecha de corte</t>
  </si>
  <si>
    <t>Contratos de prestación de servicios profesionales proyectado 11 meses con ejecución de 2 meses a la fecha de corte</t>
  </si>
  <si>
    <t>Proyección a 12 meses  de pagos al suministro de energía   de los cuales se han pagado 5 a la fecha de corte.</t>
  </si>
  <si>
    <t xml:space="preserve">Contratos de prestación de servicios con ejecución a 7 meses a la fecha de corte </t>
  </si>
  <si>
    <t>Contratos de prestación de servicios profesionales  con ejecución de siete  meses a la fecha de corte.</t>
  </si>
  <si>
    <t>Contrato de prestación de servicios de apoyo a la gestión proyectados a 11 meses con ejecución de siete meses a la fecha de corte.</t>
  </si>
  <si>
    <t>Recursos diosponibles despues de hacer traslados presupuestales</t>
  </si>
  <si>
    <t>Se libero el reurso</t>
  </si>
  <si>
    <t>Se encuentra en ejecución el contrato de suministro de materiales</t>
  </si>
  <si>
    <t>Se encuentra en ejecución el contrato para la prestación de servicio de fotocopiado</t>
  </si>
  <si>
    <t xml:space="preserve">Se encuentra en la etapa precontractual la intervención de los  4 puentes peatonales. </t>
  </si>
  <si>
    <t>Fue aprobada la vigencia futura, se encuentra en proceso de estudios y diseños de las obras a intervenir</t>
  </si>
  <si>
    <t>se encuentra en el proceso de evaluación de las propuestas</t>
  </si>
  <si>
    <t>1.3.1 para Andén construido en vía urbana como obra complementaria de seguridad vial :contrato de prestación de servicios profesionales (ingenieros, arquitectos, abogados)para apoyar las etapas precontractuales, contractuales y poscontractuales; acompañamiento técnico en la supervisión y seguimientos al proceso de ejecución de obras; acompañamiento en los aspectos jurídicos,defensa judicial; diseños, estudios previos, presupuestos, visitas técnicas</t>
  </si>
  <si>
    <t>MS Andén construido en vía urbana como obra complementaria de seguridad vial: Contratos de prestación de servicios Profesionales (administrativos y financieros) apoyo en las etapas precontractuales, evaluación financiera de las propuestas, revisión de cuentas para tramite de pagos, solicitudes de documentos para el proceso de contratación, elaboración de informes, elaboración y seguimiento a la ejecución presupuestal, proyectos de inversión, planes de acción e indicativo de la secretaria</t>
  </si>
  <si>
    <t>Esta en procesos de contratación de un ingeniero civil</t>
  </si>
  <si>
    <t>Se encuentra en ejecución el contrato de prestación de servicios</t>
  </si>
  <si>
    <t>Se encuentra en ejecución</t>
  </si>
  <si>
    <t>MS.Para vias terciarias con obras complementarias de seguridad: Adicional al contrato de suministro de elementos y materiales de ferretería y construcción para atender diferentes necesidades y proyectos del municipio de Armenia</t>
  </si>
  <si>
    <t>Se encuentra en proceso de adicionar al contrato en ejecución</t>
  </si>
  <si>
    <t>Reconstrucción conexión vial entre los Barrios  La Fachada y Jardín de la Fachada, en virtud de una a cción popular"</t>
  </si>
  <si>
    <t>Se intervino el puente de la Facha mediante fallo judicial, obra construida con recursos de fallos, sentencias y conciliaciones y apportes dela Secretafía de Infraestrucrura (230 M2)</t>
  </si>
  <si>
    <t>Contratos de prestación de servicios profesionales con ejecución 7 meses a la fecha de corte.</t>
  </si>
  <si>
    <t>Contratos de prestación de servicios profesionales con ejecución  7meses a la fecha de corte.</t>
  </si>
  <si>
    <t>MS Consultoría de estudios y diseños elaborados y validados para la construcción y/o rehabilitación de vías urbanas y rurales.</t>
  </si>
  <si>
    <t>Se encuentra en Jurídica para revisión</t>
  </si>
  <si>
    <t>MS-Para vías urbanas mantenidas, rehabilitadas y construidas: adquisición de maquinaria amarilla tipo AUTOHORMIGONERA con capacidad de  2.5 metros cúbicos, para atender y mantener la infraestructura vial y espacio público en el Municipio de Armenia</t>
  </si>
  <si>
    <t>Contrato de obra para el Mantenimiento de la malla vial en asfalto y en pavimento rígido  en diferentes sectores de la ciudad;Construcción obras de estabilización en el tramo de vía comprendido entre la glorieta Malibú y el Barrio Portal de Pinares</t>
  </si>
  <si>
    <t>Se encuentra en el Depatamento Administrativo de Bienes y Suministros</t>
  </si>
  <si>
    <t>Se encuentra en revisión en el Departamento Jurídico</t>
  </si>
  <si>
    <t>Se encuentran en ejecución las 2 interventorias</t>
  </si>
  <si>
    <t>1.5.7 Para vías urbanas mantenidas, rehabilitadas y construidas: contrato de prestación de servicios de apoyo a la gestión, acompañamiento técnico en la supervisión y seguimiento al proceso de ejecución de obras; visitas técnicas, apoyar la elaboración de informes financieros, al plan de desarrollo, plan indicativo, plan de acción, informes de gestión, plan de calidad, conducción de maquinaria pesada y volquetas, correspondencia tanto interna como externa, gestión documental y tablas de retención</t>
  </si>
  <si>
    <t>Ya se liquido en contrato con la Fiduciaria del Banco de Occidente</t>
  </si>
  <si>
    <t xml:space="preserve">MS Para Alcantarillados costruidos y ampliados : Convenio interadministrativo de cooperación para aunar esfuerzos técnicos, administrativos y financieros  entre Empresas Públicas de Armenia y el municipio para la construcción y/o optimización y/o rehabilitación de redes de alcantarillado en diferentes sectores del municipio de Armenia. </t>
  </si>
  <si>
    <t>748 ML</t>
  </si>
  <si>
    <t xml:space="preserve">MS para alcantarillados construidos y ampliados. obras de manejo de aguas de escorrentía </t>
  </si>
  <si>
    <t>Se cancelo fallo judicial.</t>
  </si>
  <si>
    <t>Se encuentra en estudios Previos</t>
  </si>
  <si>
    <t>En gestión, se adelantó  documento de solicitud de vigencias futuras de acuerdo al cronograma de obras presentado por EPA.</t>
  </si>
  <si>
    <t>Se encuentra en ejecución la construcción del colector la Aldana.</t>
  </si>
  <si>
    <t>Recursos destinados para el PSMV.</t>
  </si>
  <si>
    <t xml:space="preserve">En gestión, se adelantaron los documentos pre contractuales. </t>
  </si>
  <si>
    <t>Se encuentra en ejecución el contrato de obra correspondiente a la construcción de la cancha de fútbol 9 en el  barrio El Placer.</t>
  </si>
  <si>
    <t>En gestión, se adelantaron estudios previos y documentos pre contractuales. Proceso radicado en jurídica.</t>
  </si>
  <si>
    <t>Se encuentra en ejecución la interentoria al contrato de obra de la cancha del Barrio Ell Placer</t>
  </si>
  <si>
    <t xml:space="preserve">Se han adelantado documentos pre contractuales  para la contratación de maestros de obra y ayudantes de construcción para las obras menores a cargo de la Secretaría. </t>
  </si>
  <si>
    <t>Se encuentra en ejecucióm el contrato de suministro de materiales de construcción para la obras menores ejecutadas por la Secretaría</t>
  </si>
  <si>
    <t xml:space="preserve">MS para canchas Multifuncionales  adecuadas, canchas construidas y mantenidas: movimiento de tierra para parque recreativos </t>
  </si>
  <si>
    <t>Contrato de prestación de servicios de apoyo a la gestión proyectados a  meses con ejecución de 8 meses a la fecha de corte.</t>
  </si>
  <si>
    <t>Contrato de prestación de servicios de apoyo a la gestión proyectados a 11 meses con ejecución de 8 meses a la fecha de corte.</t>
  </si>
  <si>
    <t>Se encuentra en el Departamento Juridico el proceso en revisión</t>
  </si>
  <si>
    <t>Se encuentra en ejecución el contrato de camionetas</t>
  </si>
  <si>
    <t>Contratos de prestación de servicios de apoyo a la gestión proyectados a 11 meses con ejecución de 8 meses a la fecha de corte.</t>
  </si>
  <si>
    <t>Se encuentra en proceso de revisión en el Departamento Juridico</t>
  </si>
  <si>
    <t>No se han apropiado los recursos</t>
  </si>
  <si>
    <t>Se encuentra radicado en el Depaftamento Juridico para revisión</t>
  </si>
  <si>
    <t>Se encuentra radicado en proceso de evaluación</t>
  </si>
  <si>
    <t>ampliación, remodelación y actualización física de la unidad intermedia del Sur-Hospital del Sur de la ESE Red Salud Armenia-Fase 2</t>
  </si>
  <si>
    <t>106.01.2.3.40.4002.1400.168.4002018.581</t>
  </si>
  <si>
    <t>Recursos pendientes hasta terminar fase i</t>
  </si>
  <si>
    <t>Se encuentra publicado en el Secop</t>
  </si>
  <si>
    <t>Se realizó transferencia de subsidios correspondiente a los meses de enero de 2020 a marzo de 2021.</t>
  </si>
  <si>
    <r>
      <t>1.1.11 Para Puentes peatonales construidos y rehabilitados:Prestación de servicios de fotocopiado en blanco y negro, fotocopiado a color, argollado, empastado, fotocopiado de fotoplano (plotter), para las diferentes dependencias de la Administración Municipa</t>
    </r>
    <r>
      <rPr>
        <sz val="9"/>
        <color indexed="63"/>
        <rFont val="Calibri"/>
        <family val="2"/>
      </rPr>
      <t>l</t>
    </r>
  </si>
  <si>
    <r>
      <t>MS Para vías urbanas mantenidas, rehabilitadas y construidas: Contrato de obra para el Mantenimiento de la malla vial en asfalto y en pavimento rígido  en diferentes sectores de la ciudad;Construcción obras de estabilización en el tramo de vía comprendido entre la glorieta Malibú y el Barrio Portal de Pinares;</t>
    </r>
    <r>
      <rPr>
        <sz val="9"/>
        <color indexed="10"/>
        <rFont val="Arial"/>
        <family val="2"/>
      </rPr>
      <t xml:space="preserve"> </t>
    </r>
    <r>
      <rPr>
        <sz val="9"/>
        <rFont val="Arial"/>
        <family val="2"/>
      </rPr>
      <t>Interventoría contractual, técnica, jurídica, administrativa, financiera, social y ambiental al contrato de obra para el Mantenimiento de la malla vial en asfalto y en pavimento rígido  en diferentes sectores de la ciudad;interventoría contractual, técnica, jurídica, administrativa, financiera, social y ambiental para la ejecución del proyecto denominado “Construcción obras de estabilización en el tramo de vía comprendido entre la Glorieta Malibú y el barrio Portal de Pinares;Interventoría contractual, técnica, jurídica, administrativa, financiera, social y ambiental para la ejecución del proyecto denominado “Manejo de aguas de escorrentía en el punto crítico sector Portal de Pinares y Glorieta Malibú</t>
    </r>
  </si>
  <si>
    <t>PROMEDIO METAS</t>
  </si>
  <si>
    <t>RECURSOS ASIGNADOS</t>
  </si>
  <si>
    <t xml:space="preserve">RECURSOS EJECUTADOS </t>
  </si>
  <si>
    <t>CONSTRUCCIÓN , REPARACIÓN , MANTENIMIENTO Y AMPLIACIÓN DE LA INFRAESTRUCTURA PARA LA PRIMERA INFANCIA Armenia</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</si>
</sst>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0_);_(&quot;$&quot;* \(#,##0\);_(&quot;$&quot;* &quot;-&quot;_);_(@_)"/>
    <numFmt numFmtId="179" formatCode="_(&quot;$&quot;* #,##0.00_);_(&quot;$&quot;* \(#,##0.00\);_(&quot;$&quot;* &quot;-&quot;??_);_(@_)"/>
    <numFmt numFmtId="180" formatCode="&quot;$&quot;\ #,##0"/>
    <numFmt numFmtId="181" formatCode="[$-240A]dddd\,\ d\ &quot;de&quot;\ mmmm\ &quot;de&quot;\ yyyy"/>
    <numFmt numFmtId="182" formatCode="[$-240A]h:mm:ss\ AM/PM"/>
    <numFmt numFmtId="183" formatCode="* #,##0.00"/>
    <numFmt numFmtId="184" formatCode="&quot;$&quot;\ #,##0.00"/>
  </numFmts>
  <fonts count="52">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u val="single"/>
      <sz val="10"/>
      <name val="Arial"/>
      <family val="2"/>
    </font>
    <font>
      <sz val="12"/>
      <name val="Arial"/>
      <family val="2"/>
    </font>
    <font>
      <sz val="9"/>
      <name val="Helvetica"/>
      <family val="2"/>
    </font>
    <font>
      <sz val="10"/>
      <color indexed="10"/>
      <name val="Arial"/>
      <family val="2"/>
    </font>
    <font>
      <sz val="10"/>
      <color indexed="63"/>
      <name val="Calibri"/>
      <family val="2"/>
    </font>
    <font>
      <sz val="9"/>
      <name val="Arial"/>
      <family val="2"/>
    </font>
    <font>
      <b/>
      <sz val="12"/>
      <name val="Arial"/>
      <family val="2"/>
    </font>
    <font>
      <b/>
      <sz val="9"/>
      <name val="Arial"/>
      <family val="2"/>
    </font>
    <font>
      <sz val="9"/>
      <color indexed="63"/>
      <name val="Calibri"/>
      <family val="2"/>
    </font>
    <font>
      <sz val="9"/>
      <color indexed="10"/>
      <name val="Arial"/>
      <family val="2"/>
    </font>
    <font>
      <u val="single"/>
      <sz val="10"/>
      <color indexed="12"/>
      <name val="Arial"/>
      <family val="2"/>
    </font>
    <font>
      <u val="single"/>
      <sz val="10"/>
      <color indexed="20"/>
      <name val="Arial"/>
      <family val="2"/>
    </font>
    <font>
      <b/>
      <sz val="10"/>
      <color indexed="8"/>
      <name val="Arial"/>
      <family val="2"/>
    </font>
    <font>
      <sz val="10"/>
      <color indexed="8"/>
      <name val="Arial"/>
      <family val="2"/>
    </font>
    <font>
      <sz val="10"/>
      <color indexed="63"/>
      <name val="Arial"/>
      <family val="2"/>
    </font>
    <font>
      <sz val="9"/>
      <color indexed="8"/>
      <name val="Arial"/>
      <family val="2"/>
    </font>
    <font>
      <sz val="9"/>
      <color indexed="63"/>
      <name val="Arial"/>
      <family val="2"/>
    </font>
    <font>
      <sz val="8"/>
      <name val="Segoe UI"/>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b/>
      <sz val="10"/>
      <color rgb="FF000000"/>
      <name val="Arial"/>
      <family val="2"/>
    </font>
    <font>
      <sz val="10"/>
      <color rgb="FF000000"/>
      <name val="Arial"/>
      <family val="2"/>
    </font>
    <font>
      <sz val="10"/>
      <color rgb="FF212121"/>
      <name val="Arial"/>
      <family val="2"/>
    </font>
    <font>
      <sz val="10"/>
      <color theme="1"/>
      <name val="Arial"/>
      <family val="2"/>
    </font>
    <font>
      <sz val="9"/>
      <color theme="1"/>
      <name val="Arial"/>
      <family val="2"/>
    </font>
    <font>
      <sz val="9"/>
      <color rgb="FF000000"/>
      <name val="Arial"/>
      <family val="2"/>
    </font>
    <font>
      <sz val="9"/>
      <color rgb="FF212121"/>
      <name val="Arial"/>
      <family val="2"/>
    </font>
    <font>
      <b/>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rgb="FFFCE4D6"/>
        <bgColor indexed="64"/>
      </patternFill>
    </fill>
    <fill>
      <patternFill patternType="solid">
        <fgColor rgb="FFD9D9D9"/>
        <bgColor indexed="64"/>
      </patternFill>
    </fill>
    <fill>
      <patternFill patternType="solid">
        <fgColor rgb="FF92D050"/>
        <bgColor indexed="64"/>
      </patternFill>
    </fill>
    <fill>
      <patternFill patternType="solid">
        <fgColor rgb="FFD9E1F2"/>
        <bgColor indexed="64"/>
      </patternFill>
    </fill>
    <fill>
      <patternFill patternType="solid">
        <fgColor rgb="FFFFFFFF"/>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6" tint="0.5999900102615356"/>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medium"/>
      <bottom style="medium"/>
    </border>
    <border>
      <left style="thin"/>
      <right style="medium"/>
      <top style="medium"/>
      <bottom style="thin"/>
    </border>
    <border>
      <left>
        <color indexed="63"/>
      </left>
      <right style="thin"/>
      <top style="medium"/>
      <bottom style="medium"/>
    </border>
    <border>
      <left style="medium"/>
      <right style="thin"/>
      <top style="thin"/>
      <bottom style="thin"/>
    </border>
    <border>
      <left style="thin"/>
      <right style="thin"/>
      <top style="thin"/>
      <bottom style="thin"/>
    </border>
    <border>
      <left style="thin"/>
      <right style="thin"/>
      <top style="thin"/>
      <bottom/>
    </border>
    <border>
      <left style="thin"/>
      <right style="thin"/>
      <top>
        <color indexed="63"/>
      </top>
      <bottom style="thin"/>
    </border>
    <border>
      <left style="medium"/>
      <right style="thin"/>
      <top style="thin"/>
      <bottom/>
    </border>
    <border>
      <left style="medium"/>
      <right style="thin"/>
      <top>
        <color indexed="63"/>
      </top>
      <bottom style="thin"/>
    </border>
    <border>
      <left style="thin"/>
      <right>
        <color indexed="63"/>
      </right>
      <top style="thin"/>
      <bottom style="thin"/>
    </border>
    <border>
      <left style="thin"/>
      <right style="thin"/>
      <top style="thin"/>
      <bottom style="medium"/>
    </border>
    <border>
      <left style="thin"/>
      <right style="thin"/>
      <top style="medium"/>
      <bottom style="thin"/>
    </border>
    <border>
      <left style="thin"/>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style="medium"/>
    </border>
    <border>
      <left style="medium"/>
      <right style="medium"/>
      <top style="medium"/>
      <bottom/>
    </border>
    <border>
      <left style="thin"/>
      <right>
        <color indexed="63"/>
      </right>
      <top style="medium"/>
      <bottom style="thin"/>
    </border>
    <border>
      <left style="thin"/>
      <right>
        <color indexed="63"/>
      </right>
      <top style="thin"/>
      <bottom style="medium"/>
    </border>
    <border>
      <left style="medium"/>
      <right>
        <color indexed="63"/>
      </right>
      <top style="medium"/>
      <bottom>
        <color indexed="63"/>
      </bottom>
    </border>
    <border>
      <left>
        <color indexed="63"/>
      </left>
      <right>
        <color indexed="63"/>
      </right>
      <top>
        <color indexed="63"/>
      </top>
      <bottom style="thick"/>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top/>
      <bottom style="thin"/>
    </border>
    <border>
      <left style="thin"/>
      <right style="medium"/>
      <top>
        <color indexed="63"/>
      </top>
      <bottom style="thin"/>
    </border>
    <border>
      <left style="medium"/>
      <right style="thin"/>
      <top style="medium"/>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color indexed="63"/>
      </bottom>
    </border>
    <border>
      <left>
        <color indexed="63"/>
      </left>
      <right style="thin"/>
      <top>
        <color indexed="63"/>
      </top>
      <bottom style="medium"/>
    </border>
    <border>
      <left style="thin"/>
      <right style="medium"/>
      <top style="thin"/>
      <bottom>
        <color indexed="63"/>
      </bottom>
    </border>
    <border>
      <left style="thin"/>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medium"/>
      <right style="thin"/>
      <top style="medium"/>
      <bottom>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top/>
      <botto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79" fontId="0" fillId="0" borderId="0" applyFill="0" applyBorder="0" applyAlignment="0" applyProtection="0"/>
    <xf numFmtId="178" fontId="0" fillId="0" borderId="0" applyFill="0" applyBorder="0" applyAlignment="0" applyProtection="0"/>
    <xf numFmtId="0" fontId="10" fillId="22" borderId="0" applyNumberFormat="0" applyBorder="0" applyAlignment="0" applyProtection="0"/>
    <xf numFmtId="0" fontId="42" fillId="0" borderId="0">
      <alignment/>
      <protection/>
    </xf>
    <xf numFmtId="0" fontId="0" fillId="0" borderId="0">
      <alignment/>
      <protection/>
    </xf>
    <xf numFmtId="0" fontId="42"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585">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20" fillId="0" borderId="0" xfId="0" applyFont="1" applyBorder="1" applyAlignment="1">
      <alignment vertical="center" wrapText="1"/>
    </xf>
    <xf numFmtId="0" fontId="0" fillId="0" borderId="12" xfId="0" applyFont="1" applyBorder="1" applyAlignment="1">
      <alignment vertical="center" wrapText="1"/>
    </xf>
    <xf numFmtId="0" fontId="18" fillId="24" borderId="13" xfId="0" applyFont="1" applyFill="1" applyBorder="1" applyAlignment="1">
      <alignment horizontal="center" vertical="center" wrapText="1"/>
    </xf>
    <xf numFmtId="0" fontId="43" fillId="0" borderId="0" xfId="0" applyFont="1" applyBorder="1" applyAlignment="1">
      <alignment vertical="center" wrapText="1"/>
    </xf>
    <xf numFmtId="0" fontId="43" fillId="0" borderId="0" xfId="0" applyFont="1" applyBorder="1" applyAlignment="1">
      <alignment horizontal="center" vertical="center" wrapText="1"/>
    </xf>
    <xf numFmtId="0" fontId="21" fillId="0" borderId="12" xfId="0" applyFont="1" applyBorder="1" applyAlignment="1">
      <alignment vertical="center" wrapText="1"/>
    </xf>
    <xf numFmtId="0" fontId="18" fillId="0" borderId="14" xfId="0" applyFont="1" applyFill="1" applyBorder="1" applyAlignment="1">
      <alignment horizontal="center" vertical="center" wrapText="1"/>
    </xf>
    <xf numFmtId="0" fontId="18" fillId="24" borderId="15" xfId="0" applyFont="1" applyFill="1" applyBorder="1" applyAlignment="1">
      <alignment horizontal="center" vertical="center" wrapText="1"/>
    </xf>
    <xf numFmtId="0" fontId="44" fillId="25" borderId="16" xfId="0" applyFont="1" applyFill="1" applyBorder="1" applyAlignment="1">
      <alignment horizontal="left" vertical="center" wrapText="1"/>
    </xf>
    <xf numFmtId="0" fontId="44" fillId="0" borderId="17" xfId="0" applyFont="1" applyBorder="1" applyAlignment="1">
      <alignment vertical="center" wrapText="1"/>
    </xf>
    <xf numFmtId="0" fontId="45" fillId="0" borderId="17" xfId="0" applyFont="1" applyBorder="1" applyAlignment="1">
      <alignment horizontal="center" vertical="center" wrapText="1"/>
    </xf>
    <xf numFmtId="0" fontId="45" fillId="0" borderId="17" xfId="0" applyFont="1" applyBorder="1" applyAlignment="1">
      <alignment vertical="center" wrapText="1"/>
    </xf>
    <xf numFmtId="0" fontId="45" fillId="0" borderId="17" xfId="0" applyFont="1" applyBorder="1" applyAlignment="1">
      <alignment horizontal="justify" vertical="center" wrapText="1"/>
    </xf>
    <xf numFmtId="3" fontId="45" fillId="0" borderId="17" xfId="0" applyNumberFormat="1" applyFont="1" applyBorder="1" applyAlignment="1">
      <alignment horizontal="center" vertical="center" wrapText="1"/>
    </xf>
    <xf numFmtId="0" fontId="44" fillId="26" borderId="16" xfId="0" applyFont="1" applyFill="1" applyBorder="1" applyAlignment="1">
      <alignment vertical="center" wrapText="1"/>
    </xf>
    <xf numFmtId="9" fontId="45" fillId="0" borderId="17" xfId="0" applyNumberFormat="1" applyFont="1" applyBorder="1" applyAlignment="1">
      <alignment horizontal="center" vertical="center" wrapText="1"/>
    </xf>
    <xf numFmtId="10" fontId="45" fillId="0" borderId="17" xfId="0" applyNumberFormat="1" applyFont="1" applyBorder="1" applyAlignment="1">
      <alignment horizontal="center" vertical="center" wrapText="1"/>
    </xf>
    <xf numFmtId="1" fontId="45" fillId="0" borderId="17" xfId="0" applyNumberFormat="1" applyFont="1" applyBorder="1" applyAlignment="1">
      <alignment horizontal="center" vertical="center" wrapText="1"/>
    </xf>
    <xf numFmtId="0" fontId="45" fillId="0" borderId="17" xfId="0" applyFont="1" applyBorder="1" applyAlignment="1">
      <alignment horizontal="left" vertical="center" wrapText="1"/>
    </xf>
    <xf numFmtId="0" fontId="44" fillId="26" borderId="16" xfId="0" applyFont="1" applyFill="1" applyBorder="1" applyAlignment="1">
      <alignment horizontal="left" vertical="center" wrapText="1"/>
    </xf>
    <xf numFmtId="0" fontId="44" fillId="0" borderId="17" xfId="0" applyFont="1" applyBorder="1" applyAlignment="1">
      <alignment horizontal="left" vertical="center" wrapText="1"/>
    </xf>
    <xf numFmtId="0" fontId="45" fillId="0" borderId="18" xfId="0" applyFont="1" applyBorder="1" applyAlignment="1">
      <alignment vertical="center" wrapText="1"/>
    </xf>
    <xf numFmtId="0" fontId="44" fillId="27" borderId="16" xfId="0" applyFont="1" applyFill="1" applyBorder="1" applyAlignment="1">
      <alignment horizontal="left" vertical="center" wrapText="1"/>
    </xf>
    <xf numFmtId="0" fontId="45" fillId="0" borderId="19" xfId="0" applyFont="1" applyBorder="1" applyAlignment="1">
      <alignment vertical="center" wrapText="1"/>
    </xf>
    <xf numFmtId="0" fontId="44" fillId="27" borderId="20" xfId="0" applyFont="1" applyFill="1" applyBorder="1" applyAlignment="1">
      <alignment vertical="center" wrapText="1"/>
    </xf>
    <xf numFmtId="0" fontId="44" fillId="28" borderId="21" xfId="0" applyFont="1" applyFill="1" applyBorder="1" applyAlignment="1">
      <alignment horizontal="left" vertical="center" wrapText="1"/>
    </xf>
    <xf numFmtId="0" fontId="18" fillId="0" borderId="0" xfId="0" applyFont="1" applyBorder="1" applyAlignment="1">
      <alignment horizontal="left" vertical="center" wrapText="1"/>
    </xf>
    <xf numFmtId="9" fontId="45" fillId="0" borderId="22" xfId="0" applyNumberFormat="1" applyFont="1" applyBorder="1" applyAlignment="1">
      <alignment horizontal="center" vertical="center" wrapText="1"/>
    </xf>
    <xf numFmtId="1" fontId="45" fillId="0" borderId="22" xfId="0" applyNumberFormat="1" applyFont="1" applyBorder="1" applyAlignment="1">
      <alignment horizontal="center" vertical="center" wrapText="1"/>
    </xf>
    <xf numFmtId="9" fontId="45" fillId="0" borderId="22" xfId="58" applyFont="1" applyFill="1" applyBorder="1" applyAlignment="1">
      <alignment horizontal="center" vertical="center" wrapText="1"/>
    </xf>
    <xf numFmtId="3" fontId="45" fillId="0" borderId="22" xfId="0" applyNumberFormat="1" applyFont="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7" xfId="0" applyFont="1" applyFill="1" applyBorder="1" applyAlignment="1">
      <alignment horizontal="center" vertical="center" wrapText="1"/>
    </xf>
    <xf numFmtId="0" fontId="45" fillId="0" borderId="17" xfId="0" applyFont="1" applyFill="1" applyBorder="1" applyAlignment="1">
      <alignment horizontal="left" vertical="center" wrapText="1"/>
    </xf>
    <xf numFmtId="0" fontId="45" fillId="0" borderId="17" xfId="0" applyFont="1" applyFill="1" applyBorder="1" applyAlignment="1">
      <alignment horizontal="justify" vertical="center" wrapText="1"/>
    </xf>
    <xf numFmtId="0" fontId="0" fillId="0" borderId="17" xfId="0" applyFont="1" applyBorder="1" applyAlignment="1">
      <alignment horizontal="center" vertical="center" wrapText="1"/>
    </xf>
    <xf numFmtId="0" fontId="0" fillId="0" borderId="23" xfId="0" applyFont="1" applyBorder="1" applyAlignment="1">
      <alignment horizontal="left" vertical="center" wrapText="1"/>
    </xf>
    <xf numFmtId="0" fontId="45" fillId="0" borderId="17" xfId="0" applyFont="1" applyBorder="1" applyAlignment="1">
      <alignment horizontal="justify" vertical="center"/>
    </xf>
    <xf numFmtId="0" fontId="0" fillId="0" borderId="17" xfId="0" applyFont="1" applyBorder="1" applyAlignment="1">
      <alignment vertical="center" wrapText="1"/>
    </xf>
    <xf numFmtId="0" fontId="0" fillId="29" borderId="17" xfId="0" applyFont="1" applyFill="1" applyBorder="1" applyAlignment="1">
      <alignment horizontal="left" vertical="center" wrapText="1"/>
    </xf>
    <xf numFmtId="0" fontId="0" fillId="0" borderId="24" xfId="0" applyFont="1" applyBorder="1" applyAlignment="1">
      <alignment horizontal="left" vertical="center" wrapText="1"/>
    </xf>
    <xf numFmtId="4" fontId="0" fillId="0" borderId="17" xfId="0" applyNumberFormat="1" applyFont="1" applyBorder="1" applyAlignment="1">
      <alignment horizontal="left" vertical="center" wrapText="1"/>
    </xf>
    <xf numFmtId="43" fontId="0" fillId="0" borderId="17" xfId="49" applyFont="1" applyBorder="1" applyAlignment="1">
      <alignment vertical="center"/>
    </xf>
    <xf numFmtId="0" fontId="46" fillId="0" borderId="17" xfId="0" applyFont="1" applyBorder="1" applyAlignment="1">
      <alignment horizontal="left" vertical="center" wrapText="1"/>
    </xf>
    <xf numFmtId="171" fontId="0" fillId="0" borderId="17" xfId="52" applyNumberFormat="1" applyFont="1" applyFill="1" applyBorder="1" applyAlignment="1">
      <alignment horizontal="right" vertical="center" wrapText="1"/>
    </xf>
    <xf numFmtId="0" fontId="46" fillId="0" borderId="17" xfId="0" applyFont="1" applyBorder="1" applyAlignment="1">
      <alignment vertical="center" wrapText="1"/>
    </xf>
    <xf numFmtId="171" fontId="0" fillId="0" borderId="17" xfId="0" applyNumberFormat="1" applyFont="1" applyBorder="1" applyAlignment="1">
      <alignment vertical="center" wrapText="1"/>
    </xf>
    <xf numFmtId="0" fontId="0" fillId="0" borderId="17" xfId="0" applyFont="1" applyBorder="1" applyAlignment="1" quotePrefix="1">
      <alignment horizontal="left" wrapText="1"/>
    </xf>
    <xf numFmtId="171" fontId="0" fillId="0" borderId="17" xfId="0" applyNumberFormat="1" applyFont="1" applyBorder="1" applyAlignment="1">
      <alignment horizontal="right" vertical="center" wrapText="1"/>
    </xf>
    <xf numFmtId="0" fontId="18" fillId="0" borderId="0" xfId="0" applyFont="1" applyFill="1" applyAlignment="1">
      <alignment vertical="center"/>
    </xf>
    <xf numFmtId="0" fontId="0" fillId="0" borderId="17" xfId="0" applyFont="1" applyBorder="1" applyAlignment="1">
      <alignment horizontal="left" vertical="center" wrapText="1"/>
    </xf>
    <xf numFmtId="0" fontId="45" fillId="0" borderId="17" xfId="0" applyFont="1" applyFill="1" applyBorder="1" applyAlignment="1">
      <alignment horizontal="center" vertical="center" wrapText="1"/>
    </xf>
    <xf numFmtId="0" fontId="44" fillId="0" borderId="17" xfId="0" applyFont="1" applyFill="1" applyBorder="1" applyAlignment="1">
      <alignment vertical="center" wrapText="1"/>
    </xf>
    <xf numFmtId="0" fontId="45" fillId="0" borderId="17" xfId="0" applyFont="1" applyFill="1" applyBorder="1" applyAlignment="1">
      <alignment vertical="center" wrapText="1"/>
    </xf>
    <xf numFmtId="3" fontId="45" fillId="0" borderId="17" xfId="0" applyNumberFormat="1" applyFont="1" applyFill="1" applyBorder="1" applyAlignment="1">
      <alignment horizontal="center" vertical="center" wrapText="1"/>
    </xf>
    <xf numFmtId="1" fontId="45" fillId="0" borderId="22"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27" fillId="0" borderId="17" xfId="0" applyFont="1" applyFill="1" applyBorder="1" applyAlignment="1">
      <alignment horizontal="left" vertical="center" wrapText="1"/>
    </xf>
    <xf numFmtId="0" fontId="0" fillId="0" borderId="17" xfId="0" applyFont="1" applyFill="1" applyBorder="1" applyAlignment="1">
      <alignment vertical="center" wrapText="1"/>
    </xf>
    <xf numFmtId="9" fontId="0" fillId="0" borderId="0" xfId="58"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0" fontId="18" fillId="0" borderId="17" xfId="0"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171" fontId="45" fillId="0" borderId="17" xfId="52" applyNumberFormat="1" applyFont="1" applyFill="1" applyBorder="1" applyAlignment="1">
      <alignment horizontal="right" vertical="center" wrapText="1"/>
    </xf>
    <xf numFmtId="43" fontId="45" fillId="0" borderId="17" xfId="49" applyFont="1" applyFill="1" applyBorder="1" applyAlignment="1">
      <alignment horizontal="right" vertical="center" wrapText="1"/>
    </xf>
    <xf numFmtId="171" fontId="47" fillId="0" borderId="17" xfId="0" applyNumberFormat="1" applyFont="1" applyBorder="1" applyAlignment="1">
      <alignment horizontal="right" vertical="center" wrapText="1"/>
    </xf>
    <xf numFmtId="171" fontId="0" fillId="0" borderId="17" xfId="0" applyNumberFormat="1" applyBorder="1" applyAlignment="1">
      <alignment horizontal="right" vertical="center" wrapText="1"/>
    </xf>
    <xf numFmtId="43" fontId="0" fillId="0" borderId="17" xfId="49" applyFont="1" applyFill="1" applyBorder="1" applyAlignment="1">
      <alignment vertical="center"/>
    </xf>
    <xf numFmtId="171" fontId="45" fillId="0" borderId="17" xfId="0" applyNumberFormat="1" applyFont="1" applyBorder="1" applyAlignment="1">
      <alignment horizontal="right" vertical="center" wrapText="1"/>
    </xf>
    <xf numFmtId="0" fontId="47" fillId="0" borderId="17" xfId="0" applyFont="1" applyFill="1" applyBorder="1" applyAlignment="1">
      <alignment horizontal="left" vertical="center" wrapText="1"/>
    </xf>
    <xf numFmtId="171" fontId="47" fillId="0" borderId="17" xfId="0" applyNumberFormat="1" applyFont="1" applyFill="1" applyBorder="1" applyAlignment="1">
      <alignment horizontal="right" vertical="center" wrapText="1"/>
    </xf>
    <xf numFmtId="171" fontId="0" fillId="0" borderId="17" xfId="0" applyNumberFormat="1" applyFont="1" applyFill="1" applyBorder="1" applyAlignment="1">
      <alignment horizontal="right" vertical="center" wrapText="1"/>
    </xf>
    <xf numFmtId="0" fontId="0" fillId="0" borderId="17" xfId="0" applyFont="1" applyBorder="1" applyAlignment="1">
      <alignment horizontal="justify" vertical="center"/>
    </xf>
    <xf numFmtId="171" fontId="0" fillId="0" borderId="24" xfId="0" applyNumberFormat="1" applyFont="1" applyBorder="1" applyAlignment="1">
      <alignment horizontal="right" vertical="center" wrapText="1"/>
    </xf>
    <xf numFmtId="1" fontId="0" fillId="0" borderId="16" xfId="0" applyNumberFormat="1" applyFont="1" applyFill="1" applyBorder="1" applyAlignment="1">
      <alignment horizontal="center" vertical="center" wrapText="1"/>
    </xf>
    <xf numFmtId="1" fontId="0" fillId="0" borderId="16" xfId="49" applyNumberForma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0" fontId="0" fillId="0" borderId="23" xfId="0" applyFont="1" applyBorder="1" applyAlignment="1">
      <alignment vertical="center" wrapText="1"/>
    </xf>
    <xf numFmtId="171" fontId="0" fillId="0" borderId="23" xfId="0" applyNumberFormat="1" applyFont="1" applyBorder="1" applyAlignment="1">
      <alignment horizontal="right" vertical="center" wrapText="1"/>
    </xf>
    <xf numFmtId="171" fontId="0" fillId="0" borderId="17" xfId="0" applyNumberFormat="1" applyFont="1" applyBorder="1" applyAlignment="1">
      <alignment horizontal="right" vertical="center" wrapText="1"/>
    </xf>
    <xf numFmtId="0" fontId="0" fillId="0" borderId="25" xfId="0" applyFont="1" applyFill="1" applyBorder="1" applyAlignment="1">
      <alignment horizontal="center" vertical="center" wrapText="1"/>
    </xf>
    <xf numFmtId="0" fontId="0" fillId="0" borderId="25" xfId="0" applyFont="1" applyFill="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28" fillId="0" borderId="0" xfId="0" applyFont="1" applyAlignment="1">
      <alignment vertical="center" wrapText="1"/>
    </xf>
    <xf numFmtId="0" fontId="28" fillId="0" borderId="11" xfId="0" applyFont="1" applyBorder="1" applyAlignment="1">
      <alignment vertical="center" wrapText="1"/>
    </xf>
    <xf numFmtId="0" fontId="23" fillId="0" borderId="0" xfId="0" applyFont="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28" xfId="0" applyFont="1" applyBorder="1" applyAlignment="1">
      <alignment vertical="center" wrapText="1"/>
    </xf>
    <xf numFmtId="0" fontId="0" fillId="0" borderId="26" xfId="0" applyFont="1" applyFill="1" applyBorder="1" applyAlignment="1">
      <alignment horizontal="center" vertical="center" wrapText="1"/>
    </xf>
    <xf numFmtId="0" fontId="23" fillId="0" borderId="17" xfId="0" applyFont="1" applyBorder="1" applyAlignment="1">
      <alignment vertical="center" wrapText="1"/>
    </xf>
    <xf numFmtId="0" fontId="18" fillId="30" borderId="29" xfId="0" applyFont="1" applyFill="1" applyBorder="1" applyAlignment="1">
      <alignment horizontal="center" vertical="center" wrapText="1"/>
    </xf>
    <xf numFmtId="0" fontId="18" fillId="30" borderId="30" xfId="0" applyFont="1" applyFill="1" applyBorder="1" applyAlignment="1">
      <alignment horizontal="center" vertical="center" wrapText="1"/>
    </xf>
    <xf numFmtId="171" fontId="0" fillId="0" borderId="31" xfId="0" applyNumberFormat="1" applyFont="1" applyBorder="1" applyAlignment="1">
      <alignment horizontal="right" vertical="center" wrapText="1"/>
    </xf>
    <xf numFmtId="171" fontId="0" fillId="0" borderId="22" xfId="0" applyNumberFormat="1" applyFont="1" applyBorder="1" applyAlignment="1">
      <alignment horizontal="right" vertical="center" wrapText="1"/>
    </xf>
    <xf numFmtId="171" fontId="0" fillId="0" borderId="22" xfId="0" applyNumberFormat="1" applyFont="1" applyBorder="1" applyAlignment="1">
      <alignment horizontal="right" vertical="center" wrapText="1"/>
    </xf>
    <xf numFmtId="43" fontId="0" fillId="0" borderId="22" xfId="49" applyFont="1" applyBorder="1" applyAlignment="1">
      <alignment vertical="center"/>
    </xf>
    <xf numFmtId="171" fontId="45" fillId="0" borderId="22" xfId="52" applyNumberFormat="1" applyFont="1" applyFill="1" applyBorder="1" applyAlignment="1">
      <alignment horizontal="right" vertical="center" wrapText="1"/>
    </xf>
    <xf numFmtId="171" fontId="0" fillId="0" borderId="22" xfId="52" applyNumberFormat="1" applyFont="1" applyFill="1" applyBorder="1" applyAlignment="1">
      <alignment horizontal="right" vertical="center" wrapText="1"/>
    </xf>
    <xf numFmtId="171" fontId="0" fillId="0" borderId="22" xfId="0" applyNumberFormat="1" applyFont="1" applyBorder="1" applyAlignment="1">
      <alignment vertical="center" wrapText="1"/>
    </xf>
    <xf numFmtId="43" fontId="45" fillId="0" borderId="22" xfId="49" applyFont="1" applyFill="1" applyBorder="1" applyAlignment="1">
      <alignment horizontal="right" vertical="center" wrapText="1"/>
    </xf>
    <xf numFmtId="171" fontId="47" fillId="0" borderId="22" xfId="0" applyNumberFormat="1" applyFont="1" applyBorder="1" applyAlignment="1">
      <alignment horizontal="right" vertical="center" wrapText="1"/>
    </xf>
    <xf numFmtId="171" fontId="0" fillId="0" borderId="22" xfId="0" applyNumberFormat="1" applyBorder="1" applyAlignment="1">
      <alignment horizontal="right" vertical="center" wrapText="1"/>
    </xf>
    <xf numFmtId="43" fontId="0" fillId="0" borderId="22" xfId="49" applyFont="1" applyFill="1" applyBorder="1" applyAlignment="1">
      <alignment vertical="center"/>
    </xf>
    <xf numFmtId="171" fontId="45" fillId="0" borderId="22" xfId="0" applyNumberFormat="1" applyFont="1" applyBorder="1" applyAlignment="1">
      <alignment horizontal="right" vertical="center" wrapText="1"/>
    </xf>
    <xf numFmtId="180" fontId="0" fillId="0" borderId="22" xfId="0" applyNumberFormat="1" applyFont="1" applyBorder="1" applyAlignment="1">
      <alignment horizontal="right" vertical="center" wrapText="1"/>
    </xf>
    <xf numFmtId="171" fontId="0" fillId="0" borderId="22" xfId="0" applyNumberFormat="1" applyFont="1" applyFill="1" applyBorder="1" applyAlignment="1">
      <alignment horizontal="right" vertical="center" wrapText="1"/>
    </xf>
    <xf numFmtId="171" fontId="0" fillId="0" borderId="32" xfId="0" applyNumberFormat="1" applyFont="1" applyBorder="1" applyAlignment="1">
      <alignment horizontal="right" vertical="center" wrapText="1"/>
    </xf>
    <xf numFmtId="0" fontId="18" fillId="0" borderId="29" xfId="0" applyFont="1" applyBorder="1" applyAlignment="1">
      <alignment horizontal="center" vertical="center" wrapText="1"/>
    </xf>
    <xf numFmtId="0" fontId="28" fillId="0" borderId="29" xfId="0" applyFont="1" applyBorder="1" applyAlignment="1">
      <alignment horizontal="center" vertical="center" wrapText="1"/>
    </xf>
    <xf numFmtId="0" fontId="0" fillId="0" borderId="33" xfId="0" applyFont="1" applyBorder="1" applyAlignment="1">
      <alignment vertical="center" wrapText="1"/>
    </xf>
    <xf numFmtId="0" fontId="0" fillId="0" borderId="26" xfId="0" applyFont="1" applyBorder="1" applyAlignment="1">
      <alignment horizontal="center" vertical="center" wrapText="1"/>
    </xf>
    <xf numFmtId="0" fontId="21" fillId="0" borderId="26" xfId="0" applyFont="1" applyBorder="1" applyAlignment="1">
      <alignment vertical="center" wrapText="1"/>
    </xf>
    <xf numFmtId="0" fontId="0" fillId="0" borderId="26" xfId="0" applyFont="1" applyBorder="1" applyAlignment="1">
      <alignment vertical="center" wrapText="1"/>
    </xf>
    <xf numFmtId="0" fontId="21" fillId="0" borderId="26" xfId="0" applyFont="1" applyBorder="1" applyAlignment="1">
      <alignment horizontal="left" vertical="center" wrapText="1"/>
    </xf>
    <xf numFmtId="0" fontId="21" fillId="0" borderId="34" xfId="0" applyFont="1" applyBorder="1" applyAlignment="1">
      <alignment vertical="center" wrapText="1"/>
    </xf>
    <xf numFmtId="0" fontId="18" fillId="0" borderId="0" xfId="0" applyFont="1" applyBorder="1" applyAlignment="1">
      <alignment vertical="center" wrapText="1"/>
    </xf>
    <xf numFmtId="0" fontId="18" fillId="31" borderId="10" xfId="0" applyFont="1" applyFill="1" applyBorder="1" applyAlignment="1">
      <alignment vertical="center" wrapText="1"/>
    </xf>
    <xf numFmtId="0" fontId="18" fillId="31" borderId="0" xfId="0" applyFont="1" applyFill="1" applyBorder="1" applyAlignment="1">
      <alignment vertical="center" wrapText="1"/>
    </xf>
    <xf numFmtId="0" fontId="18" fillId="31" borderId="35" xfId="0" applyFont="1" applyFill="1" applyBorder="1" applyAlignment="1">
      <alignment vertical="center" wrapText="1"/>
    </xf>
    <xf numFmtId="0" fontId="18" fillId="31" borderId="12" xfId="0" applyFont="1" applyFill="1" applyBorder="1" applyAlignment="1">
      <alignment vertical="center" wrapText="1"/>
    </xf>
    <xf numFmtId="10" fontId="0" fillId="0" borderId="24" xfId="0" applyNumberFormat="1" applyFont="1" applyFill="1" applyBorder="1" applyAlignment="1">
      <alignment horizontal="center" vertical="center" wrapText="1"/>
    </xf>
    <xf numFmtId="10" fontId="0" fillId="0" borderId="31" xfId="0" applyNumberFormat="1" applyFont="1" applyBorder="1" applyAlignment="1">
      <alignment horizontal="center" vertical="center" wrapText="1"/>
    </xf>
    <xf numFmtId="10" fontId="0" fillId="0" borderId="0" xfId="0" applyNumberFormat="1" applyFont="1" applyFill="1" applyBorder="1" applyAlignment="1">
      <alignment horizontal="center" vertical="center" wrapText="1"/>
    </xf>
    <xf numFmtId="10" fontId="0" fillId="0" borderId="36" xfId="0" applyNumberFormat="1" applyFont="1" applyFill="1" applyBorder="1" applyAlignment="1">
      <alignment horizontal="center" vertical="center" wrapText="1"/>
    </xf>
    <xf numFmtId="10" fontId="0" fillId="0" borderId="37"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5" fillId="0" borderId="17" xfId="0" applyFont="1" applyBorder="1" applyAlignment="1">
      <alignment horizontal="center" vertical="center" wrapText="1"/>
    </xf>
    <xf numFmtId="0" fontId="45" fillId="0" borderId="17"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171" fontId="0" fillId="0" borderId="19" xfId="0" applyNumberFormat="1" applyFont="1" applyBorder="1" applyAlignment="1">
      <alignment horizontal="right" vertical="center" wrapText="1"/>
    </xf>
    <xf numFmtId="171" fontId="0" fillId="0" borderId="38" xfId="0" applyNumberFormat="1" applyFont="1" applyBorder="1" applyAlignment="1">
      <alignment horizontal="right" vertical="center" wrapText="1"/>
    </xf>
    <xf numFmtId="0" fontId="0" fillId="0" borderId="19" xfId="0" applyBorder="1" applyAlignment="1">
      <alignment horizontal="left" vertical="center" wrapText="1"/>
    </xf>
    <xf numFmtId="0" fontId="0" fillId="0" borderId="24" xfId="0" applyBorder="1" applyAlignment="1">
      <alignment horizontal="left" vertical="center" wrapText="1"/>
    </xf>
    <xf numFmtId="1" fontId="0" fillId="0" borderId="24" xfId="0" applyNumberFormat="1" applyFont="1" applyBorder="1" applyAlignment="1">
      <alignment horizontal="right" vertical="center" wrapText="1"/>
    </xf>
    <xf numFmtId="0" fontId="0" fillId="0" borderId="25" xfId="0" applyFill="1" applyBorder="1" applyAlignment="1">
      <alignment vertical="center" wrapText="1"/>
    </xf>
    <xf numFmtId="171" fontId="0" fillId="0" borderId="22" xfId="52" applyNumberFormat="1" applyFont="1" applyFill="1" applyBorder="1" applyAlignment="1">
      <alignment horizontal="right" vertical="center" wrapText="1"/>
    </xf>
    <xf numFmtId="0" fontId="0" fillId="0" borderId="17" xfId="0" applyNumberFormat="1" applyFont="1" applyFill="1" applyBorder="1" applyAlignment="1">
      <alignment horizontal="center" vertical="center" wrapText="1"/>
    </xf>
    <xf numFmtId="0" fontId="0" fillId="0" borderId="18" xfId="0" applyFont="1" applyFill="1" applyBorder="1" applyAlignment="1" quotePrefix="1">
      <alignment horizontal="center" vertical="center" wrapText="1"/>
    </xf>
    <xf numFmtId="44" fontId="45" fillId="32" borderId="38" xfId="49" applyNumberFormat="1" applyFont="1" applyFill="1" applyBorder="1" applyAlignment="1">
      <alignment horizontal="right" vertical="center" wrapText="1"/>
    </xf>
    <xf numFmtId="0" fontId="0" fillId="0" borderId="18" xfId="0" applyFont="1" applyFill="1" applyBorder="1" applyAlignment="1" quotePrefix="1">
      <alignment horizontal="left" vertical="center" wrapText="1"/>
    </xf>
    <xf numFmtId="0" fontId="0" fillId="0" borderId="39" xfId="0" applyBorder="1" applyAlignment="1">
      <alignment horizontal="left" vertical="center" wrapText="1"/>
    </xf>
    <xf numFmtId="171" fontId="27" fillId="0" borderId="25" xfId="0" applyNumberFormat="1" applyFont="1" applyBorder="1" applyAlignment="1">
      <alignment horizontal="left" vertical="center" wrapText="1"/>
    </xf>
    <xf numFmtId="0" fontId="45" fillId="0" borderId="18" xfId="0" applyFont="1" applyFill="1" applyBorder="1" applyAlignment="1">
      <alignment horizontal="left" vertical="center" wrapText="1"/>
    </xf>
    <xf numFmtId="44" fontId="0" fillId="0" borderId="22" xfId="0" applyNumberFormat="1" applyFont="1" applyFill="1" applyBorder="1" applyAlignment="1">
      <alignment horizontal="right" vertical="center" wrapText="1"/>
    </xf>
    <xf numFmtId="0" fontId="0" fillId="0" borderId="17" xfId="0" applyFont="1" applyFill="1" applyBorder="1" applyAlignment="1">
      <alignment horizontal="left" vertical="center" wrapText="1"/>
    </xf>
    <xf numFmtId="171" fontId="0" fillId="0" borderId="22" xfId="0" applyNumberFormat="1" applyFont="1" applyFill="1" applyBorder="1" applyAlignment="1">
      <alignment horizontal="right" vertical="center" wrapText="1"/>
    </xf>
    <xf numFmtId="0" fontId="0" fillId="0" borderId="22" xfId="0" applyFont="1" applyFill="1" applyBorder="1" applyAlignment="1">
      <alignment horizontal="center" vertical="center" wrapText="1"/>
    </xf>
    <xf numFmtId="171" fontId="0" fillId="0" borderId="17" xfId="0" applyNumberFormat="1" applyFont="1" applyFill="1" applyBorder="1" applyAlignment="1">
      <alignment horizontal="right" vertical="center" wrapText="1"/>
    </xf>
    <xf numFmtId="0" fontId="0" fillId="0" borderId="18" xfId="0" applyFont="1" applyFill="1" applyBorder="1" applyAlignment="1">
      <alignment horizontal="center" vertical="center"/>
    </xf>
    <xf numFmtId="183" fontId="0" fillId="0" borderId="0" xfId="0" applyNumberFormat="1" applyFont="1" applyFill="1" applyAlignment="1">
      <alignment horizontal="right" vertical="center" wrapText="1"/>
    </xf>
    <xf numFmtId="183" fontId="0" fillId="0" borderId="17" xfId="0" applyNumberFormat="1" applyFont="1" applyFill="1" applyBorder="1" applyAlignment="1">
      <alignment horizontal="right" vertical="center" wrapText="1"/>
    </xf>
    <xf numFmtId="0" fontId="0" fillId="0" borderId="17" xfId="0" applyFont="1" applyBorder="1" applyAlignment="1" quotePrefix="1">
      <alignment horizontal="left" wrapText="1"/>
    </xf>
    <xf numFmtId="171" fontId="0" fillId="0" borderId="38" xfId="0" applyNumberFormat="1" applyFont="1" applyFill="1" applyBorder="1" applyAlignment="1">
      <alignment horizontal="right" vertical="center" wrapText="1"/>
    </xf>
    <xf numFmtId="43" fontId="0" fillId="0" borderId="17" xfId="49" applyFont="1" applyFill="1" applyBorder="1" applyAlignment="1">
      <alignment horizontal="right" vertical="center" wrapText="1"/>
    </xf>
    <xf numFmtId="0" fontId="0" fillId="0" borderId="17" xfId="0" applyFont="1" applyBorder="1" applyAlignment="1">
      <alignment vertical="center" wrapText="1"/>
    </xf>
    <xf numFmtId="0" fontId="0" fillId="33" borderId="17" xfId="0" applyFont="1" applyFill="1" applyBorder="1" applyAlignment="1" quotePrefix="1">
      <alignment horizontal="left" vertical="center" wrapText="1"/>
    </xf>
    <xf numFmtId="0" fontId="0" fillId="33" borderId="17" xfId="0" applyFont="1" applyFill="1" applyBorder="1" applyAlignment="1">
      <alignment horizontal="left" vertical="center" wrapText="1"/>
    </xf>
    <xf numFmtId="44" fontId="0" fillId="33" borderId="38" xfId="49" applyNumberFormat="1" applyFont="1" applyFill="1" applyBorder="1" applyAlignment="1">
      <alignment horizontal="right" vertical="center" wrapText="1"/>
    </xf>
    <xf numFmtId="43" fontId="0" fillId="0" borderId="22" xfId="49" applyFont="1" applyFill="1" applyBorder="1" applyAlignment="1">
      <alignment horizontal="center" vertical="center" wrapText="1"/>
    </xf>
    <xf numFmtId="43" fontId="0" fillId="0" borderId="22" xfId="49" applyFont="1" applyFill="1" applyBorder="1" applyAlignment="1">
      <alignment horizontal="left" vertical="center" wrapText="1"/>
    </xf>
    <xf numFmtId="43" fontId="0" fillId="0" borderId="17" xfId="49" applyFont="1" applyFill="1" applyBorder="1" applyAlignment="1">
      <alignment horizontal="center" vertical="center" wrapText="1"/>
    </xf>
    <xf numFmtId="43" fontId="0" fillId="0" borderId="22" xfId="49" applyFont="1" applyFill="1" applyBorder="1" applyAlignment="1">
      <alignment horizontal="center" vertical="center" wrapText="1"/>
    </xf>
    <xf numFmtId="43" fontId="0" fillId="0" borderId="22" xfId="49" applyFont="1" applyFill="1" applyBorder="1" applyAlignment="1">
      <alignment vertical="center" wrapText="1"/>
    </xf>
    <xf numFmtId="0" fontId="0" fillId="0" borderId="17" xfId="0" applyNumberFormat="1" applyFont="1" applyBorder="1" applyAlignment="1">
      <alignment horizontal="left" vertical="center" wrapText="1"/>
    </xf>
    <xf numFmtId="0" fontId="0" fillId="0" borderId="17" xfId="0" applyBorder="1" applyAlignment="1">
      <alignment horizontal="left" vertical="center" wrapText="1"/>
    </xf>
    <xf numFmtId="0" fontId="0" fillId="0" borderId="25" xfId="0" applyFill="1" applyBorder="1" applyAlignment="1">
      <alignment horizontal="center" vertical="center" wrapText="1"/>
    </xf>
    <xf numFmtId="3" fontId="0" fillId="0" borderId="0" xfId="0" applyNumberFormat="1" applyFont="1" applyAlignment="1">
      <alignment horizontal="right" vertical="center" wrapText="1"/>
    </xf>
    <xf numFmtId="171" fontId="0" fillId="0" borderId="0" xfId="0" applyNumberFormat="1" applyFont="1" applyFill="1" applyBorder="1" applyAlignment="1">
      <alignment horizontal="right" vertical="center" wrapText="1"/>
    </xf>
    <xf numFmtId="0" fontId="0" fillId="0" borderId="0" xfId="0" applyFont="1" applyFill="1" applyAlignment="1">
      <alignment horizontal="right" vertical="center" wrapText="1"/>
    </xf>
    <xf numFmtId="171" fontId="48" fillId="0" borderId="25" xfId="0" applyNumberFormat="1" applyFont="1" applyFill="1" applyBorder="1" applyAlignment="1">
      <alignment horizontal="left" vertical="center" wrapText="1"/>
    </xf>
    <xf numFmtId="43" fontId="0" fillId="0" borderId="22" xfId="49" applyFont="1" applyFill="1" applyBorder="1" applyAlignment="1">
      <alignment vertical="center" wrapText="1"/>
    </xf>
    <xf numFmtId="44" fontId="0" fillId="0" borderId="38" xfId="0" applyNumberFormat="1" applyFont="1" applyFill="1" applyBorder="1" applyAlignment="1">
      <alignment horizontal="right" vertical="center" wrapText="1"/>
    </xf>
    <xf numFmtId="0" fontId="0" fillId="0" borderId="0" xfId="0" applyFont="1" applyAlignment="1">
      <alignment horizontal="left" vertical="center" wrapText="1"/>
    </xf>
    <xf numFmtId="1" fontId="0" fillId="0" borderId="24" xfId="0" applyNumberFormat="1" applyBorder="1" applyAlignment="1">
      <alignment horizontal="right" vertical="center" wrapText="1"/>
    </xf>
    <xf numFmtId="0" fontId="29" fillId="30" borderId="29" xfId="0" applyFont="1" applyFill="1" applyBorder="1" applyAlignment="1">
      <alignment horizontal="center" vertical="center" wrapText="1"/>
    </xf>
    <xf numFmtId="0" fontId="29" fillId="30" borderId="30" xfId="0" applyFont="1" applyFill="1" applyBorder="1" applyAlignment="1">
      <alignment horizontal="center" vertical="center" wrapText="1"/>
    </xf>
    <xf numFmtId="10" fontId="27" fillId="0" borderId="36" xfId="0" applyNumberFormat="1" applyFont="1" applyFill="1" applyBorder="1" applyAlignment="1">
      <alignment horizontal="center" vertical="center" wrapText="1"/>
    </xf>
    <xf numFmtId="171" fontId="27" fillId="0" borderId="24" xfId="0" applyNumberFormat="1" applyFont="1" applyBorder="1" applyAlignment="1">
      <alignment horizontal="right" vertical="center" wrapText="1"/>
    </xf>
    <xf numFmtId="171" fontId="27" fillId="0" borderId="31" xfId="0" applyNumberFormat="1" applyFont="1" applyBorder="1" applyAlignment="1">
      <alignment horizontal="right" vertical="center" wrapText="1"/>
    </xf>
    <xf numFmtId="10" fontId="27" fillId="0" borderId="31" xfId="0" applyNumberFormat="1" applyFont="1" applyBorder="1" applyAlignment="1">
      <alignment horizontal="center" vertical="center" wrapText="1"/>
    </xf>
    <xf numFmtId="0" fontId="27" fillId="0" borderId="19" xfId="0" applyFont="1" applyFill="1" applyBorder="1" applyAlignment="1">
      <alignment horizontal="left" vertical="center" wrapText="1"/>
    </xf>
    <xf numFmtId="171" fontId="27" fillId="0" borderId="19" xfId="0" applyNumberFormat="1" applyFont="1" applyBorder="1" applyAlignment="1">
      <alignment horizontal="right" vertical="center" wrapText="1"/>
    </xf>
    <xf numFmtId="171" fontId="27" fillId="0" borderId="38" xfId="0" applyNumberFormat="1" applyFont="1" applyBorder="1" applyAlignment="1">
      <alignment horizontal="right" vertical="center" wrapText="1"/>
    </xf>
    <xf numFmtId="0" fontId="27" fillId="0" borderId="17" xfId="0" applyFont="1" applyBorder="1" applyAlignment="1">
      <alignment horizontal="left" vertical="center" wrapText="1"/>
    </xf>
    <xf numFmtId="0" fontId="27" fillId="0" borderId="17" xfId="0" applyFont="1" applyFill="1" applyBorder="1" applyAlignment="1">
      <alignment horizontal="center" vertical="center" wrapText="1"/>
    </xf>
    <xf numFmtId="10" fontId="27" fillId="0" borderId="24" xfId="0" applyNumberFormat="1" applyFont="1" applyFill="1" applyBorder="1" applyAlignment="1">
      <alignment horizontal="center" vertical="center" wrapText="1"/>
    </xf>
    <xf numFmtId="171" fontId="27" fillId="0" borderId="17" xfId="0" applyNumberFormat="1" applyFont="1" applyBorder="1" applyAlignment="1">
      <alignment horizontal="right" vertical="center" wrapText="1"/>
    </xf>
    <xf numFmtId="171" fontId="27" fillId="0" borderId="22" xfId="0" applyNumberFormat="1" applyFont="1" applyBorder="1" applyAlignment="1">
      <alignment horizontal="right" vertical="center" wrapText="1"/>
    </xf>
    <xf numFmtId="0" fontId="49" fillId="0" borderId="17" xfId="0" applyFont="1" applyFill="1" applyBorder="1" applyAlignment="1">
      <alignment vertical="center" wrapText="1"/>
    </xf>
    <xf numFmtId="0" fontId="27" fillId="0" borderId="17" xfId="0" applyFont="1" applyFill="1" applyBorder="1" applyAlignment="1">
      <alignment horizontal="center" vertical="center"/>
    </xf>
    <xf numFmtId="0" fontId="27" fillId="0" borderId="17" xfId="0" applyFont="1" applyBorder="1" applyAlignment="1">
      <alignment vertical="center" wrapText="1"/>
    </xf>
    <xf numFmtId="0" fontId="29" fillId="0" borderId="17" xfId="0" applyFont="1" applyFill="1" applyBorder="1" applyAlignment="1">
      <alignment horizontal="center" vertical="center" wrapText="1"/>
    </xf>
    <xf numFmtId="0" fontId="49" fillId="0" borderId="17" xfId="0" applyFont="1" applyBorder="1" applyAlignment="1">
      <alignment vertical="center" wrapText="1"/>
    </xf>
    <xf numFmtId="9" fontId="27" fillId="0" borderId="17" xfId="0" applyNumberFormat="1" applyFont="1" applyFill="1" applyBorder="1" applyAlignment="1">
      <alignment horizontal="center" vertical="center" wrapText="1"/>
    </xf>
    <xf numFmtId="43" fontId="27" fillId="0" borderId="17" xfId="49" applyFont="1" applyBorder="1" applyAlignment="1">
      <alignment vertical="center"/>
    </xf>
    <xf numFmtId="43" fontId="27" fillId="0" borderId="22" xfId="49" applyFont="1" applyBorder="1" applyAlignment="1">
      <alignment vertical="center"/>
    </xf>
    <xf numFmtId="0" fontId="49" fillId="0" borderId="17" xfId="0" applyFont="1" applyBorder="1" applyAlignment="1">
      <alignment horizontal="left" vertical="center" wrapText="1"/>
    </xf>
    <xf numFmtId="0" fontId="27" fillId="0" borderId="17" xfId="0" applyFont="1" applyBorder="1" applyAlignment="1">
      <alignment horizontal="center" vertical="center" wrapText="1"/>
    </xf>
    <xf numFmtId="171" fontId="49" fillId="0" borderId="17" xfId="52" applyNumberFormat="1" applyFont="1" applyFill="1" applyBorder="1" applyAlignment="1">
      <alignment horizontal="right" vertical="center" wrapText="1"/>
    </xf>
    <xf numFmtId="171" fontId="49" fillId="0" borderId="22" xfId="52" applyNumberFormat="1" applyFont="1" applyFill="1" applyBorder="1" applyAlignment="1">
      <alignment horizontal="right"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17" xfId="0" applyFont="1" applyFill="1" applyBorder="1" applyAlignment="1">
      <alignment vertical="center" wrapText="1"/>
    </xf>
    <xf numFmtId="171" fontId="27" fillId="0" borderId="17" xfId="52" applyNumberFormat="1" applyFont="1" applyFill="1" applyBorder="1" applyAlignment="1">
      <alignment horizontal="right" vertical="center" wrapText="1"/>
    </xf>
    <xf numFmtId="171" fontId="27" fillId="0" borderId="22" xfId="52" applyNumberFormat="1" applyFont="1" applyFill="1" applyBorder="1" applyAlignment="1">
      <alignment horizontal="right" vertical="center" wrapText="1"/>
    </xf>
    <xf numFmtId="0" fontId="50" fillId="0" borderId="17" xfId="0" applyFont="1" applyBorder="1" applyAlignment="1">
      <alignment vertical="center" wrapText="1"/>
    </xf>
    <xf numFmtId="171" fontId="27" fillId="0" borderId="17" xfId="0" applyNumberFormat="1" applyFont="1" applyBorder="1" applyAlignment="1">
      <alignment vertical="center" wrapText="1"/>
    </xf>
    <xf numFmtId="171" fontId="27" fillId="0" borderId="22" xfId="0" applyNumberFormat="1" applyFont="1" applyBorder="1" applyAlignment="1">
      <alignment vertical="center" wrapText="1"/>
    </xf>
    <xf numFmtId="43" fontId="49" fillId="0" borderId="17" xfId="49" applyFont="1" applyFill="1" applyBorder="1" applyAlignment="1">
      <alignment horizontal="right" vertical="center" wrapText="1"/>
    </xf>
    <xf numFmtId="43" fontId="49" fillId="0" borderId="22" xfId="49" applyFont="1" applyFill="1" applyBorder="1" applyAlignment="1">
      <alignment horizontal="right" vertical="center" wrapText="1"/>
    </xf>
    <xf numFmtId="0" fontId="27" fillId="0" borderId="17" xfId="0" applyNumberFormat="1" applyFont="1" applyFill="1" applyBorder="1" applyAlignment="1">
      <alignment horizontal="center" vertical="center" wrapText="1"/>
    </xf>
    <xf numFmtId="10" fontId="27" fillId="0" borderId="37" xfId="0" applyNumberFormat="1" applyFont="1" applyFill="1" applyBorder="1" applyAlignment="1">
      <alignment horizontal="center" vertical="center" wrapText="1"/>
    </xf>
    <xf numFmtId="44" fontId="49" fillId="32" borderId="38" xfId="49" applyNumberFormat="1" applyFont="1" applyFill="1" applyBorder="1" applyAlignment="1">
      <alignment horizontal="right" vertical="center" wrapText="1"/>
    </xf>
    <xf numFmtId="0" fontId="49" fillId="0" borderId="17" xfId="0" applyFont="1" applyFill="1" applyBorder="1" applyAlignment="1">
      <alignment horizontal="center" vertical="center" wrapText="1"/>
    </xf>
    <xf numFmtId="44" fontId="27" fillId="0" borderId="22" xfId="0" applyNumberFormat="1" applyFont="1" applyFill="1" applyBorder="1" applyAlignment="1">
      <alignment horizontal="right" vertical="center" wrapText="1"/>
    </xf>
    <xf numFmtId="0" fontId="49" fillId="0" borderId="17" xfId="0" applyFont="1" applyFill="1" applyBorder="1" applyAlignment="1">
      <alignment horizontal="left" vertical="center" wrapText="1"/>
    </xf>
    <xf numFmtId="171" fontId="27" fillId="0" borderId="22" xfId="0" applyNumberFormat="1" applyFont="1" applyFill="1" applyBorder="1" applyAlignment="1">
      <alignment horizontal="right" vertical="center" wrapText="1"/>
    </xf>
    <xf numFmtId="171" fontId="48" fillId="0" borderId="17" xfId="0" applyNumberFormat="1" applyFont="1" applyBorder="1" applyAlignment="1">
      <alignment horizontal="right" vertical="center" wrapText="1"/>
    </xf>
    <xf numFmtId="171" fontId="27" fillId="0" borderId="17" xfId="0" applyNumberFormat="1" applyFont="1" applyFill="1" applyBorder="1" applyAlignment="1">
      <alignment horizontal="right" vertical="center" wrapText="1"/>
    </xf>
    <xf numFmtId="0" fontId="27" fillId="0" borderId="18" xfId="0" applyFont="1" applyFill="1" applyBorder="1" applyAlignment="1">
      <alignment horizontal="center" vertical="center"/>
    </xf>
    <xf numFmtId="171" fontId="48" fillId="0" borderId="17" xfId="0" applyNumberFormat="1" applyFont="1" applyFill="1" applyBorder="1" applyAlignment="1">
      <alignment horizontal="right" vertical="center" wrapText="1"/>
    </xf>
    <xf numFmtId="183" fontId="27" fillId="0" borderId="0" xfId="0" applyNumberFormat="1" applyFont="1" applyFill="1" applyAlignment="1">
      <alignment horizontal="right" vertical="center" wrapText="1"/>
    </xf>
    <xf numFmtId="183" fontId="27" fillId="0" borderId="17" xfId="0" applyNumberFormat="1" applyFont="1" applyFill="1" applyBorder="1" applyAlignment="1">
      <alignment horizontal="right" vertical="center" wrapText="1"/>
    </xf>
    <xf numFmtId="171" fontId="27" fillId="0" borderId="38" xfId="0" applyNumberFormat="1" applyFont="1" applyFill="1" applyBorder="1" applyAlignment="1">
      <alignment horizontal="right" vertical="center" wrapText="1"/>
    </xf>
    <xf numFmtId="43" fontId="27" fillId="0" borderId="17" xfId="49" applyFont="1" applyFill="1" applyBorder="1" applyAlignment="1">
      <alignment horizontal="right" vertical="center" wrapText="1"/>
    </xf>
    <xf numFmtId="44" fontId="27" fillId="33" borderId="38" xfId="49" applyNumberFormat="1" applyFont="1" applyFill="1" applyBorder="1" applyAlignment="1">
      <alignment horizontal="right" vertical="center" wrapText="1"/>
    </xf>
    <xf numFmtId="43" fontId="27" fillId="0" borderId="17" xfId="49" applyFont="1" applyFill="1" applyBorder="1" applyAlignment="1">
      <alignment horizontal="center" vertical="center" wrapText="1"/>
    </xf>
    <xf numFmtId="43" fontId="27" fillId="0" borderId="22" xfId="49" applyFont="1" applyFill="1" applyBorder="1" applyAlignment="1">
      <alignment horizontal="center" vertical="center" wrapText="1"/>
    </xf>
    <xf numFmtId="43" fontId="27" fillId="0" borderId="17" xfId="49" applyFont="1" applyFill="1" applyBorder="1" applyAlignment="1">
      <alignment vertical="center"/>
    </xf>
    <xf numFmtId="43" fontId="27" fillId="0" borderId="22" xfId="49" applyFont="1" applyFill="1" applyBorder="1" applyAlignment="1">
      <alignment vertical="center"/>
    </xf>
    <xf numFmtId="0" fontId="27" fillId="0" borderId="17" xfId="0" applyNumberFormat="1" applyFont="1" applyBorder="1" applyAlignment="1">
      <alignment horizontal="left" vertical="center" wrapText="1"/>
    </xf>
    <xf numFmtId="0" fontId="50" fillId="0" borderId="17" xfId="0" applyFont="1" applyBorder="1" applyAlignment="1">
      <alignment horizontal="left" vertical="center" wrapText="1"/>
    </xf>
    <xf numFmtId="171" fontId="49" fillId="0" borderId="17" xfId="0" applyNumberFormat="1" applyFont="1" applyBorder="1" applyAlignment="1">
      <alignment horizontal="right" vertical="center" wrapText="1"/>
    </xf>
    <xf numFmtId="171" fontId="49" fillId="0" borderId="22" xfId="0" applyNumberFormat="1" applyFont="1" applyBorder="1" applyAlignment="1">
      <alignment horizontal="right" vertical="center" wrapText="1"/>
    </xf>
    <xf numFmtId="3" fontId="27" fillId="0" borderId="0" xfId="0" applyNumberFormat="1" applyFont="1" applyAlignment="1">
      <alignment horizontal="right" vertical="center" wrapText="1"/>
    </xf>
    <xf numFmtId="171" fontId="27" fillId="0" borderId="0" xfId="0" applyNumberFormat="1" applyFont="1" applyFill="1" applyBorder="1" applyAlignment="1">
      <alignment horizontal="right" vertical="center" wrapText="1"/>
    </xf>
    <xf numFmtId="0" fontId="48" fillId="0" borderId="17" xfId="0" applyFont="1" applyFill="1" applyBorder="1" applyAlignment="1">
      <alignment horizontal="left" vertical="center" wrapText="1"/>
    </xf>
    <xf numFmtId="0" fontId="48" fillId="0" borderId="17" xfId="0" applyFont="1" applyFill="1" applyBorder="1" applyAlignment="1">
      <alignment horizontal="center" vertical="center" wrapText="1"/>
    </xf>
    <xf numFmtId="0" fontId="27" fillId="0" borderId="0" xfId="0" applyFont="1" applyFill="1" applyAlignment="1">
      <alignment horizontal="right" vertical="center" wrapText="1"/>
    </xf>
    <xf numFmtId="44" fontId="27" fillId="0" borderId="38" xfId="0" applyNumberFormat="1" applyFont="1" applyFill="1" applyBorder="1" applyAlignment="1">
      <alignment horizontal="right" vertical="center" wrapText="1"/>
    </xf>
    <xf numFmtId="0" fontId="27" fillId="0" borderId="17" xfId="0" applyFont="1" applyBorder="1" applyAlignment="1">
      <alignment horizontal="justify" vertical="center"/>
    </xf>
    <xf numFmtId="0" fontId="49" fillId="0" borderId="17" xfId="0" applyFont="1" applyBorder="1" applyAlignment="1">
      <alignment horizontal="justify" vertical="center"/>
    </xf>
    <xf numFmtId="0" fontId="27" fillId="0" borderId="0" xfId="0" applyFont="1" applyAlignment="1">
      <alignment horizontal="left" vertical="center" wrapText="1"/>
    </xf>
    <xf numFmtId="10" fontId="27" fillId="0" borderId="19" xfId="0" applyNumberFormat="1" applyFont="1" applyFill="1" applyBorder="1" applyAlignment="1">
      <alignment horizontal="center" vertical="center" wrapText="1"/>
    </xf>
    <xf numFmtId="171" fontId="27" fillId="0" borderId="23" xfId="0" applyNumberFormat="1" applyFont="1" applyBorder="1" applyAlignment="1">
      <alignment horizontal="right" vertical="center" wrapText="1"/>
    </xf>
    <xf numFmtId="171" fontId="27" fillId="0" borderId="32" xfId="0" applyNumberFormat="1" applyFont="1" applyBorder="1" applyAlignment="1">
      <alignment horizontal="right" vertical="center" wrapText="1"/>
    </xf>
    <xf numFmtId="0" fontId="0" fillId="0" borderId="17" xfId="0" applyBorder="1" applyAlignment="1">
      <alignment/>
    </xf>
    <xf numFmtId="10" fontId="0" fillId="0" borderId="17" xfId="0" applyNumberFormat="1" applyBorder="1" applyAlignment="1">
      <alignment/>
    </xf>
    <xf numFmtId="0" fontId="0" fillId="0" borderId="0" xfId="0" applyBorder="1" applyAlignment="1">
      <alignment/>
    </xf>
    <xf numFmtId="170" fontId="0" fillId="0" borderId="17" xfId="0" applyNumberFormat="1" applyBorder="1" applyAlignment="1">
      <alignment/>
    </xf>
    <xf numFmtId="0" fontId="0" fillId="0" borderId="40" xfId="0" applyBorder="1" applyAlignment="1">
      <alignment vertical="center" wrapText="1"/>
    </xf>
    <xf numFmtId="1" fontId="0" fillId="0" borderId="24" xfId="0" applyNumberFormat="1" applyBorder="1" applyAlignment="1">
      <alignment horizontal="center" vertical="center" wrapText="1"/>
    </xf>
    <xf numFmtId="180" fontId="0" fillId="0" borderId="24" xfId="0" applyNumberFormat="1" applyBorder="1" applyAlignment="1">
      <alignment horizontal="center" vertical="center" wrapText="1"/>
    </xf>
    <xf numFmtId="10" fontId="0" fillId="0" borderId="14" xfId="0" applyNumberFormat="1" applyBorder="1" applyAlignment="1">
      <alignment horizontal="center" vertical="center" wrapText="1"/>
    </xf>
    <xf numFmtId="0" fontId="0" fillId="0" borderId="16" xfId="0" applyBorder="1" applyAlignment="1">
      <alignment horizontal="left" vertical="center" wrapText="1"/>
    </xf>
    <xf numFmtId="1" fontId="0" fillId="0" borderId="17" xfId="0" applyNumberFormat="1" applyBorder="1" applyAlignment="1">
      <alignment horizontal="center" vertical="center"/>
    </xf>
    <xf numFmtId="180" fontId="0" fillId="0" borderId="17" xfId="51" applyNumberFormat="1" applyFont="1" applyBorder="1" applyAlignment="1">
      <alignment horizontal="center" vertical="center" wrapText="1"/>
    </xf>
    <xf numFmtId="180" fontId="0" fillId="0" borderId="17" xfId="0" applyNumberFormat="1" applyBorder="1" applyAlignment="1">
      <alignment horizontal="center" vertical="center" wrapText="1"/>
    </xf>
    <xf numFmtId="10" fontId="0" fillId="0" borderId="25" xfId="0" applyNumberFormat="1" applyBorder="1" applyAlignment="1">
      <alignment horizontal="center" vertical="center" wrapText="1"/>
    </xf>
    <xf numFmtId="1" fontId="0" fillId="0" borderId="17" xfId="0" applyNumberFormat="1" applyBorder="1" applyAlignment="1">
      <alignment horizontal="center" vertical="center" wrapText="1"/>
    </xf>
    <xf numFmtId="0" fontId="0" fillId="0" borderId="16" xfId="0" applyBorder="1" applyAlignment="1">
      <alignment vertical="center" wrapText="1"/>
    </xf>
    <xf numFmtId="1" fontId="0" fillId="0" borderId="16" xfId="0" applyNumberFormat="1" applyBorder="1" applyAlignment="1">
      <alignment vertical="center" wrapText="1"/>
    </xf>
    <xf numFmtId="0" fontId="0" fillId="0" borderId="41" xfId="0" applyBorder="1" applyAlignment="1">
      <alignment vertical="center" wrapText="1"/>
    </xf>
    <xf numFmtId="1" fontId="0" fillId="0" borderId="23" xfId="0" applyNumberFormat="1" applyBorder="1" applyAlignment="1">
      <alignment horizontal="center" vertical="center" wrapText="1"/>
    </xf>
    <xf numFmtId="180" fontId="0" fillId="0" borderId="23" xfId="0" applyNumberFormat="1" applyBorder="1" applyAlignment="1">
      <alignment horizontal="center" vertical="center" wrapText="1"/>
    </xf>
    <xf numFmtId="10" fontId="0" fillId="0" borderId="42" xfId="0" applyNumberFormat="1" applyBorder="1" applyAlignment="1">
      <alignment horizontal="center" vertical="center" wrapText="1"/>
    </xf>
    <xf numFmtId="0" fontId="0" fillId="0" borderId="0" xfId="0" applyAlignment="1">
      <alignment horizontal="center" vertical="center" wrapText="1"/>
    </xf>
    <xf numFmtId="180" fontId="18" fillId="0" borderId="43" xfId="0" applyNumberFormat="1" applyFont="1" applyBorder="1" applyAlignment="1">
      <alignment horizontal="center" vertical="center" wrapText="1"/>
    </xf>
    <xf numFmtId="180" fontId="18" fillId="0" borderId="44" xfId="0" applyNumberFormat="1" applyFont="1" applyBorder="1" applyAlignment="1">
      <alignment horizontal="center" vertical="center" wrapText="1"/>
    </xf>
    <xf numFmtId="10" fontId="18" fillId="0" borderId="42" xfId="0" applyNumberFormat="1" applyFont="1" applyBorder="1" applyAlignment="1">
      <alignment horizontal="center" vertical="center" wrapText="1"/>
    </xf>
    <xf numFmtId="0" fontId="29" fillId="34" borderId="45" xfId="0" applyFont="1" applyFill="1" applyBorder="1" applyAlignment="1">
      <alignment horizontal="center" vertical="center" wrapText="1"/>
    </xf>
    <xf numFmtId="0" fontId="29" fillId="34" borderId="46" xfId="0" applyFont="1" applyFill="1" applyBorder="1" applyAlignment="1">
      <alignment horizontal="center" vertical="center" wrapText="1"/>
    </xf>
    <xf numFmtId="10" fontId="0" fillId="0" borderId="24" xfId="0" applyNumberFormat="1" applyBorder="1" applyAlignment="1">
      <alignment horizontal="center" vertical="center" wrapText="1"/>
    </xf>
    <xf numFmtId="10" fontId="0" fillId="0" borderId="17" xfId="0" applyNumberFormat="1" applyBorder="1" applyAlignment="1">
      <alignment horizontal="center" vertical="center"/>
    </xf>
    <xf numFmtId="10" fontId="0" fillId="0" borderId="17" xfId="0" applyNumberFormat="1" applyBorder="1" applyAlignment="1">
      <alignment horizontal="center" vertical="center" wrapText="1"/>
    </xf>
    <xf numFmtId="10" fontId="0" fillId="0" borderId="23" xfId="0" applyNumberFormat="1" applyBorder="1" applyAlignment="1">
      <alignment horizontal="center" vertical="center" wrapText="1"/>
    </xf>
    <xf numFmtId="171" fontId="0" fillId="0" borderId="18" xfId="0" applyNumberFormat="1" applyBorder="1" applyAlignment="1">
      <alignment horizontal="right" vertical="center" wrapText="1"/>
    </xf>
    <xf numFmtId="171" fontId="0" fillId="0" borderId="19" xfId="0" applyNumberFormat="1" applyFont="1" applyBorder="1" applyAlignment="1">
      <alignment horizontal="righ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4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7" xfId="0" applyBorder="1" applyAlignment="1">
      <alignment horizontal="right" vertical="center" wrapText="1"/>
    </xf>
    <xf numFmtId="0" fontId="0" fillId="0" borderId="48" xfId="0" applyBorder="1" applyAlignment="1">
      <alignment horizontal="right" vertical="center" wrapText="1"/>
    </xf>
    <xf numFmtId="0" fontId="0" fillId="0" borderId="17" xfId="0" applyFont="1" applyBorder="1" applyAlignment="1">
      <alignment horizontal="center" vertical="center" wrapText="1"/>
    </xf>
    <xf numFmtId="0" fontId="45" fillId="0" borderId="17" xfId="0" applyFont="1" applyBorder="1" applyAlignment="1">
      <alignment horizontal="center" vertical="center" wrapText="1"/>
    </xf>
    <xf numFmtId="184" fontId="18" fillId="31" borderId="26" xfId="0" applyNumberFormat="1" applyFont="1" applyFill="1" applyBorder="1" applyAlignment="1">
      <alignment horizontal="center" vertical="center" wrapText="1"/>
    </xf>
    <xf numFmtId="184" fontId="0" fillId="0" borderId="12" xfId="0" applyNumberFormat="1" applyBorder="1" applyAlignment="1">
      <alignment horizontal="center" vertical="center" wrapText="1"/>
    </xf>
    <xf numFmtId="43" fontId="0" fillId="0" borderId="18" xfId="49" applyFont="1" applyFill="1" applyBorder="1" applyAlignment="1">
      <alignment vertical="center" wrapText="1"/>
    </xf>
    <xf numFmtId="0" fontId="0" fillId="0" borderId="37" xfId="0" applyBorder="1" applyAlignment="1">
      <alignment vertical="center" wrapText="1"/>
    </xf>
    <xf numFmtId="0" fontId="0" fillId="0" borderId="19" xfId="0" applyBorder="1" applyAlignment="1">
      <alignment vertical="center" wrapText="1"/>
    </xf>
    <xf numFmtId="43" fontId="0" fillId="0" borderId="18" xfId="49" applyFont="1" applyFill="1" applyBorder="1" applyAlignment="1">
      <alignment horizontal="center" vertical="center" wrapText="1"/>
    </xf>
    <xf numFmtId="0" fontId="0" fillId="0" borderId="37"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right" vertical="center" wrapText="1"/>
    </xf>
    <xf numFmtId="171" fontId="48" fillId="0" borderId="47" xfId="0" applyNumberFormat="1" applyFont="1" applyFill="1" applyBorder="1" applyAlignment="1">
      <alignment horizontal="left" vertical="center" wrapText="1"/>
    </xf>
    <xf numFmtId="171" fontId="48" fillId="0" borderId="39" xfId="0" applyNumberFormat="1" applyFont="1" applyFill="1" applyBorder="1" applyAlignment="1">
      <alignment horizontal="left" vertical="center" wrapText="1"/>
    </xf>
    <xf numFmtId="0" fontId="0" fillId="0" borderId="49"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171" fontId="47" fillId="0" borderId="18" xfId="0" applyNumberFormat="1" applyFont="1" applyBorder="1" applyAlignment="1">
      <alignment horizontal="right" vertical="center" wrapText="1"/>
    </xf>
    <xf numFmtId="0" fontId="0" fillId="0" borderId="37" xfId="0" applyBorder="1" applyAlignment="1">
      <alignment/>
    </xf>
    <xf numFmtId="171" fontId="47" fillId="0" borderId="18" xfId="0" applyNumberFormat="1" applyFont="1" applyFill="1" applyBorder="1" applyAlignment="1">
      <alignment horizontal="right" vertical="center" wrapText="1"/>
    </xf>
    <xf numFmtId="0" fontId="0" fillId="0" borderId="51" xfId="0" applyBorder="1" applyAlignment="1">
      <alignment vertical="center" wrapText="1"/>
    </xf>
    <xf numFmtId="0" fontId="0" fillId="0" borderId="21" xfId="0" applyBorder="1" applyAlignment="1">
      <alignment vertical="center" wrapText="1"/>
    </xf>
    <xf numFmtId="171" fontId="45" fillId="0" borderId="18" xfId="52" applyNumberFormat="1" applyFont="1" applyFill="1" applyBorder="1" applyAlignment="1">
      <alignment horizontal="right" vertical="center" wrapText="1"/>
    </xf>
    <xf numFmtId="0" fontId="0" fillId="0" borderId="52"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39" xfId="0" applyBorder="1" applyAlignment="1">
      <alignment horizontal="center" vertical="center" wrapText="1"/>
    </xf>
    <xf numFmtId="171" fontId="0" fillId="0" borderId="18" xfId="0" applyNumberFormat="1" applyBorder="1" applyAlignment="1">
      <alignment vertical="center" wrapText="1"/>
    </xf>
    <xf numFmtId="171" fontId="0" fillId="0" borderId="19" xfId="0" applyNumberFormat="1" applyFont="1" applyBorder="1" applyAlignment="1">
      <alignment vertical="center" wrapText="1"/>
    </xf>
    <xf numFmtId="0" fontId="0" fillId="0" borderId="19" xfId="0" applyFont="1" applyBorder="1" applyAlignment="1">
      <alignment horizontal="left" vertical="center" wrapText="1"/>
    </xf>
    <xf numFmtId="171" fontId="0" fillId="0" borderId="18" xfId="0" applyNumberFormat="1" applyFont="1" applyBorder="1" applyAlignment="1">
      <alignment horizontal="right" vertical="center" wrapText="1"/>
    </xf>
    <xf numFmtId="0" fontId="44" fillId="26" borderId="20" xfId="0" applyFont="1" applyFill="1" applyBorder="1" applyAlignment="1">
      <alignment horizontal="center" vertical="center" wrapText="1"/>
    </xf>
    <xf numFmtId="0" fontId="44" fillId="26" borderId="51"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21" xfId="0" applyBorder="1" applyAlignment="1">
      <alignment horizontal="center" vertical="center" wrapText="1"/>
    </xf>
    <xf numFmtId="0" fontId="45" fillId="0" borderId="18" xfId="0" applyFont="1" applyBorder="1" applyAlignment="1">
      <alignment horizontal="center" vertical="center" wrapText="1"/>
    </xf>
    <xf numFmtId="0" fontId="45" fillId="0" borderId="37" xfId="0" applyFont="1" applyBorder="1" applyAlignment="1">
      <alignment horizontal="center" vertical="center" wrapText="1"/>
    </xf>
    <xf numFmtId="3" fontId="45" fillId="0" borderId="18" xfId="0" applyNumberFormat="1" applyFont="1" applyBorder="1" applyAlignment="1">
      <alignment horizontal="center" vertical="center" wrapText="1"/>
    </xf>
    <xf numFmtId="3" fontId="45" fillId="0" borderId="37" xfId="0" applyNumberFormat="1"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53" xfId="0" applyFont="1" applyFill="1" applyBorder="1" applyAlignment="1">
      <alignment horizontal="center" vertical="center" wrapText="1"/>
    </xf>
    <xf numFmtId="171" fontId="45" fillId="0" borderId="19" xfId="52" applyNumberFormat="1" applyFont="1" applyFill="1" applyBorder="1" applyAlignment="1">
      <alignment horizontal="right" vertical="center" wrapText="1"/>
    </xf>
    <xf numFmtId="0" fontId="0" fillId="0" borderId="36" xfId="0" applyFont="1" applyFill="1" applyBorder="1" applyAlignment="1">
      <alignment horizontal="center" vertical="center" wrapText="1"/>
    </xf>
    <xf numFmtId="10" fontId="0" fillId="0" borderId="36" xfId="0" applyNumberFormat="1" applyFont="1" applyFill="1" applyBorder="1" applyAlignment="1">
      <alignment horizontal="center" vertical="center" wrapText="1"/>
    </xf>
    <xf numFmtId="10" fontId="0" fillId="0" borderId="48" xfId="0" applyNumberFormat="1" applyFont="1" applyFill="1" applyBorder="1" applyAlignment="1">
      <alignment horizontal="center" vertical="center" wrapText="1"/>
    </xf>
    <xf numFmtId="0" fontId="0" fillId="0" borderId="36" xfId="0" applyFont="1" applyBorder="1" applyAlignment="1">
      <alignment horizontal="left" vertical="center" wrapText="1"/>
    </xf>
    <xf numFmtId="1" fontId="0" fillId="0" borderId="36" xfId="0" applyNumberFormat="1" applyBorder="1" applyAlignment="1">
      <alignment horizontal="right" vertical="center" wrapText="1"/>
    </xf>
    <xf numFmtId="171" fontId="0" fillId="0" borderId="36" xfId="0" applyNumberFormat="1" applyBorder="1" applyAlignment="1">
      <alignment horizontal="right" vertical="center" wrapText="1"/>
    </xf>
    <xf numFmtId="171" fontId="0" fillId="0" borderId="36" xfId="0" applyNumberFormat="1" applyFont="1" applyBorder="1" applyAlignment="1">
      <alignment horizontal="right" vertical="center" wrapText="1"/>
    </xf>
    <xf numFmtId="0" fontId="45" fillId="0" borderId="36" xfId="0" applyFont="1" applyFill="1" applyBorder="1" applyAlignment="1">
      <alignment horizontal="left" vertical="center" wrapText="1"/>
    </xf>
    <xf numFmtId="0" fontId="45" fillId="0" borderId="19" xfId="0" applyFont="1" applyFill="1" applyBorder="1" applyAlignment="1">
      <alignment horizontal="left" vertical="center" wrapText="1"/>
    </xf>
    <xf numFmtId="3" fontId="45" fillId="0" borderId="36" xfId="0" applyNumberFormat="1" applyFont="1" applyBorder="1" applyAlignment="1">
      <alignment horizontal="center" vertical="center" wrapText="1"/>
    </xf>
    <xf numFmtId="3" fontId="45" fillId="0" borderId="19" xfId="0" applyNumberFormat="1" applyFont="1" applyBorder="1" applyAlignment="1">
      <alignment horizontal="center" vertical="center" wrapText="1"/>
    </xf>
    <xf numFmtId="1" fontId="45" fillId="0" borderId="53" xfId="0" applyNumberFormat="1" applyFont="1" applyBorder="1" applyAlignment="1">
      <alignment horizontal="center" vertical="center" wrapText="1"/>
    </xf>
    <xf numFmtId="1" fontId="45" fillId="0" borderId="39" xfId="0" applyNumberFormat="1" applyFont="1" applyBorder="1" applyAlignment="1">
      <alignment horizontal="center" vertical="center" wrapText="1"/>
    </xf>
    <xf numFmtId="0" fontId="0" fillId="0" borderId="36" xfId="0" applyFont="1" applyFill="1" applyBorder="1" applyAlignment="1">
      <alignment horizontal="center" vertical="center" wrapText="1"/>
    </xf>
    <xf numFmtId="0" fontId="44" fillId="28" borderId="54" xfId="0" applyFont="1" applyFill="1" applyBorder="1" applyAlignment="1">
      <alignment horizontal="left" vertical="center" wrapText="1"/>
    </xf>
    <xf numFmtId="0" fontId="44" fillId="28" borderId="21" xfId="0" applyFont="1" applyFill="1" applyBorder="1" applyAlignment="1">
      <alignment horizontal="left" vertical="center" wrapText="1"/>
    </xf>
    <xf numFmtId="0" fontId="44" fillId="0" borderId="36" xfId="0" applyFont="1" applyBorder="1" applyAlignment="1">
      <alignment vertical="center" wrapText="1"/>
    </xf>
    <xf numFmtId="0" fontId="44" fillId="0" borderId="19" xfId="0" applyFont="1" applyBorder="1" applyAlignment="1">
      <alignment vertical="center" wrapText="1"/>
    </xf>
    <xf numFmtId="0" fontId="45" fillId="0" borderId="36" xfId="0" applyFont="1" applyBorder="1" applyAlignment="1">
      <alignment horizontal="center" vertical="center" wrapText="1"/>
    </xf>
    <xf numFmtId="0" fontId="45" fillId="0" borderId="18" xfId="0" applyFont="1" applyBorder="1" applyAlignment="1">
      <alignment vertical="center" wrapText="1"/>
    </xf>
    <xf numFmtId="0" fontId="45" fillId="0" borderId="19" xfId="0" applyFont="1" applyBorder="1" applyAlignment="1">
      <alignment vertical="center" wrapText="1"/>
    </xf>
    <xf numFmtId="0" fontId="28" fillId="0" borderId="55"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61" xfId="0" applyFont="1" applyBorder="1" applyAlignment="1">
      <alignment horizontal="center" vertical="center" wrapText="1"/>
    </xf>
    <xf numFmtId="0" fontId="28" fillId="34" borderId="35" xfId="0" applyFont="1" applyFill="1" applyBorder="1" applyAlignment="1">
      <alignment horizontal="left" vertical="center" wrapText="1"/>
    </xf>
    <xf numFmtId="0" fontId="28" fillId="34" borderId="12" xfId="0" applyFont="1" applyFill="1" applyBorder="1" applyAlignment="1">
      <alignment horizontal="left" vertical="center" wrapText="1"/>
    </xf>
    <xf numFmtId="0" fontId="0" fillId="0" borderId="1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8" xfId="0" applyFont="1" applyBorder="1" applyAlignment="1">
      <alignment horizontal="center" vertical="center" wrapText="1"/>
    </xf>
    <xf numFmtId="10" fontId="0" fillId="0" borderId="37" xfId="0" applyNumberFormat="1"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0" fontId="47" fillId="0" borderId="17"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63"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44" xfId="0" applyFont="1" applyBorder="1" applyAlignment="1">
      <alignment horizontal="center" vertical="center" wrapText="1"/>
    </xf>
    <xf numFmtId="0" fontId="28" fillId="34" borderId="43" xfId="0" applyFont="1" applyFill="1" applyBorder="1" applyAlignment="1">
      <alignment horizontal="left" vertical="center" wrapText="1"/>
    </xf>
    <xf numFmtId="0" fontId="28" fillId="34" borderId="44" xfId="0" applyFont="1" applyFill="1" applyBorder="1" applyAlignment="1">
      <alignment horizontal="left" vertical="center" wrapText="1"/>
    </xf>
    <xf numFmtId="0" fontId="18" fillId="34" borderId="36" xfId="0" applyFont="1" applyFill="1" applyBorder="1" applyAlignment="1">
      <alignment horizontal="center" vertical="center" wrapText="1"/>
    </xf>
    <xf numFmtId="0" fontId="18" fillId="34" borderId="48" xfId="0" applyFont="1" applyFill="1" applyBorder="1" applyAlignment="1">
      <alignment horizontal="center" vertical="center" wrapText="1"/>
    </xf>
    <xf numFmtId="0" fontId="18" fillId="24" borderId="36" xfId="0" applyFont="1" applyFill="1" applyBorder="1" applyAlignment="1">
      <alignment horizontal="center" vertical="center" wrapText="1"/>
    </xf>
    <xf numFmtId="0" fontId="18" fillId="24" borderId="48" xfId="0" applyFont="1" applyFill="1" applyBorder="1" applyAlignment="1">
      <alignment horizontal="center" vertical="center" wrapText="1"/>
    </xf>
    <xf numFmtId="0" fontId="18" fillId="30" borderId="30" xfId="0" applyFont="1" applyFill="1" applyBorder="1" applyAlignment="1">
      <alignment horizontal="center" vertical="center" wrapText="1"/>
    </xf>
    <xf numFmtId="0" fontId="18" fillId="30" borderId="64" xfId="0" applyFont="1" applyFill="1" applyBorder="1" applyAlignment="1">
      <alignment horizontal="center" vertical="center" wrapText="1"/>
    </xf>
    <xf numFmtId="0" fontId="18" fillId="30" borderId="65" xfId="0" applyFont="1" applyFill="1" applyBorder="1" applyAlignment="1">
      <alignment horizontal="center" vertical="center" wrapText="1"/>
    </xf>
    <xf numFmtId="0" fontId="28" fillId="34" borderId="63" xfId="0" applyFont="1" applyFill="1" applyBorder="1" applyAlignment="1">
      <alignment horizontal="left" vertical="center" wrapText="1"/>
    </xf>
    <xf numFmtId="0" fontId="51" fillId="34" borderId="17" xfId="0" applyFont="1" applyFill="1" applyBorder="1" applyAlignment="1">
      <alignment horizontal="center" vertical="center" wrapText="1"/>
    </xf>
    <xf numFmtId="0" fontId="51" fillId="34" borderId="55" xfId="0" applyFont="1" applyFill="1" applyBorder="1" applyAlignment="1">
      <alignment horizontal="center" vertical="center" wrapText="1"/>
    </xf>
    <xf numFmtId="0" fontId="51" fillId="34" borderId="66"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45" fillId="0" borderId="19" xfId="0" applyFont="1" applyFill="1" applyBorder="1" applyAlignment="1">
      <alignment horizontal="center" vertical="center" wrapText="1"/>
    </xf>
    <xf numFmtId="1" fontId="45" fillId="0" borderId="18" xfId="0" applyNumberFormat="1" applyFont="1" applyBorder="1" applyAlignment="1">
      <alignment horizontal="center" vertical="center" wrapText="1"/>
    </xf>
    <xf numFmtId="1" fontId="45" fillId="0" borderId="37" xfId="0" applyNumberFormat="1" applyFont="1" applyBorder="1" applyAlignment="1">
      <alignment horizontal="center" vertical="center" wrapText="1"/>
    </xf>
    <xf numFmtId="1" fontId="45" fillId="0" borderId="19" xfId="0" applyNumberFormat="1" applyFont="1" applyBorder="1" applyAlignment="1">
      <alignment horizontal="center" vertical="center" wrapText="1"/>
    </xf>
    <xf numFmtId="0" fontId="45" fillId="0" borderId="36" xfId="0" applyFont="1" applyBorder="1" applyAlignment="1">
      <alignment horizontal="justify" vertical="center" wrapText="1"/>
    </xf>
    <xf numFmtId="0" fontId="45" fillId="0" borderId="19" xfId="0" applyFont="1" applyBorder="1" applyAlignment="1">
      <alignment horizontal="justify" vertical="center" wrapText="1"/>
    </xf>
    <xf numFmtId="0" fontId="45" fillId="0" borderId="19" xfId="0" applyFont="1" applyBorder="1" applyAlignment="1">
      <alignment horizontal="center" vertical="center" wrapText="1"/>
    </xf>
    <xf numFmtId="0" fontId="44" fillId="0" borderId="18" xfId="0" applyFont="1" applyFill="1" applyBorder="1" applyAlignment="1">
      <alignment horizontal="center" vertical="center" wrapText="1"/>
    </xf>
    <xf numFmtId="0" fontId="44" fillId="0" borderId="37"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27" borderId="20" xfId="0" applyFont="1" applyFill="1" applyBorder="1" applyAlignment="1">
      <alignment horizontal="center" vertical="center" wrapText="1"/>
    </xf>
    <xf numFmtId="0" fontId="44" fillId="27" borderId="51" xfId="0" applyFont="1" applyFill="1" applyBorder="1" applyAlignment="1">
      <alignment horizontal="center" vertical="center" wrapText="1"/>
    </xf>
    <xf numFmtId="0" fontId="44" fillId="27" borderId="21" xfId="0" applyFont="1" applyFill="1" applyBorder="1" applyAlignment="1">
      <alignment horizontal="center" vertical="center" wrapText="1"/>
    </xf>
    <xf numFmtId="0" fontId="44" fillId="0" borderId="18"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19" xfId="0" applyFont="1" applyBorder="1" applyAlignment="1">
      <alignment horizontal="center" vertical="center" wrapText="1"/>
    </xf>
    <xf numFmtId="9" fontId="45" fillId="0" borderId="18" xfId="0" applyNumberFormat="1" applyFont="1" applyBorder="1" applyAlignment="1">
      <alignment horizontal="center" vertical="center" wrapText="1"/>
    </xf>
    <xf numFmtId="9" fontId="45" fillId="0" borderId="37" xfId="0" applyNumberFormat="1" applyFont="1" applyBorder="1" applyAlignment="1">
      <alignment horizontal="center" vertical="center" wrapText="1"/>
    </xf>
    <xf numFmtId="9" fontId="45" fillId="0" borderId="19" xfId="0" applyNumberFormat="1" applyFont="1" applyBorder="1" applyAlignment="1">
      <alignment horizontal="center" vertical="center" wrapText="1"/>
    </xf>
    <xf numFmtId="1" fontId="0" fillId="0" borderId="16" xfId="0" applyNumberFormat="1" applyFont="1" applyFill="1" applyBorder="1" applyAlignment="1">
      <alignment horizontal="center" vertical="center" wrapText="1"/>
    </xf>
    <xf numFmtId="1" fontId="0" fillId="0" borderId="41" xfId="0" applyNumberFormat="1" applyFont="1" applyFill="1" applyBorder="1" applyAlignment="1">
      <alignment horizontal="center" vertical="center" wrapText="1"/>
    </xf>
    <xf numFmtId="1" fontId="0" fillId="0" borderId="40" xfId="0" applyNumberFormat="1" applyFont="1" applyFill="1" applyBorder="1" applyAlignment="1">
      <alignment horizontal="center" vertical="center" wrapText="1"/>
    </xf>
    <xf numFmtId="1" fontId="0" fillId="0" borderId="21" xfId="0" applyNumberFormat="1"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17" xfId="0" applyFont="1" applyBorder="1" applyAlignment="1">
      <alignment horizontal="left" vertical="center" wrapText="1"/>
    </xf>
    <xf numFmtId="0" fontId="21" fillId="0" borderId="35"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21" fillId="0" borderId="26" xfId="0" applyFont="1" applyBorder="1" applyAlignment="1">
      <alignment horizontal="left"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171" fontId="0" fillId="0" borderId="18" xfId="0" applyNumberFormat="1" applyFont="1" applyBorder="1" applyAlignment="1">
      <alignment horizontal="center" vertical="center" wrapText="1"/>
    </xf>
    <xf numFmtId="171" fontId="0" fillId="0" borderId="19" xfId="0" applyNumberFormat="1" applyFont="1" applyBorder="1" applyAlignment="1">
      <alignment horizontal="center" vertical="center" wrapText="1"/>
    </xf>
    <xf numFmtId="10" fontId="0" fillId="0" borderId="36" xfId="0" applyNumberFormat="1" applyFont="1" applyBorder="1" applyAlignment="1">
      <alignment horizontal="center" vertical="center" wrapText="1"/>
    </xf>
    <xf numFmtId="10" fontId="0" fillId="0" borderId="48" xfId="0" applyNumberFormat="1" applyFont="1" applyBorder="1" applyAlignment="1">
      <alignment horizontal="center" vertical="center" wrapText="1"/>
    </xf>
    <xf numFmtId="0" fontId="18" fillId="0" borderId="26" xfId="0" applyFont="1" applyBorder="1" applyAlignment="1">
      <alignment horizontal="left" vertical="center" wrapText="1"/>
    </xf>
    <xf numFmtId="0" fontId="0" fillId="0" borderId="0" xfId="0" applyFont="1" applyFill="1" applyBorder="1" applyAlignment="1">
      <alignment horizontal="center" vertical="center" wrapText="1"/>
    </xf>
    <xf numFmtId="0" fontId="51" fillId="34" borderId="54" xfId="0" applyFont="1" applyFill="1" applyBorder="1" applyAlignment="1">
      <alignment horizontal="center" vertical="center" wrapText="1"/>
    </xf>
    <xf numFmtId="0" fontId="51" fillId="34" borderId="51" xfId="0" applyFont="1" applyFill="1" applyBorder="1" applyAlignment="1">
      <alignment horizontal="center" vertical="center" wrapText="1"/>
    </xf>
    <xf numFmtId="0" fontId="51" fillId="34" borderId="62" xfId="0" applyFont="1" applyFill="1" applyBorder="1" applyAlignment="1">
      <alignment horizontal="center" vertical="center" wrapText="1"/>
    </xf>
    <xf numFmtId="0" fontId="51" fillId="34" borderId="36" xfId="0" applyFont="1" applyFill="1" applyBorder="1" applyAlignment="1">
      <alignment horizontal="center" vertical="center" wrapText="1"/>
    </xf>
    <xf numFmtId="0" fontId="51" fillId="34" borderId="37" xfId="0" applyFont="1" applyFill="1" applyBorder="1" applyAlignment="1">
      <alignment horizontal="center" vertical="center" wrapText="1"/>
    </xf>
    <xf numFmtId="0" fontId="51" fillId="34" borderId="48" xfId="0" applyFont="1" applyFill="1" applyBorder="1" applyAlignment="1">
      <alignment horizontal="center" vertical="center" wrapText="1"/>
    </xf>
    <xf numFmtId="0" fontId="51" fillId="34" borderId="31" xfId="0" applyFont="1" applyFill="1" applyBorder="1" applyAlignment="1">
      <alignment horizontal="center" vertical="center"/>
    </xf>
    <xf numFmtId="0" fontId="51" fillId="34" borderId="67" xfId="0" applyFont="1" applyFill="1" applyBorder="1" applyAlignment="1">
      <alignment horizontal="center" vertical="center"/>
    </xf>
    <xf numFmtId="0" fontId="51" fillId="34" borderId="68" xfId="0" applyFont="1" applyFill="1" applyBorder="1" applyAlignment="1">
      <alignment horizontal="center" vertical="center"/>
    </xf>
    <xf numFmtId="0" fontId="18" fillId="34" borderId="43" xfId="0" applyFont="1" applyFill="1" applyBorder="1" applyAlignment="1">
      <alignment horizontal="center" vertical="center" wrapText="1"/>
    </xf>
    <xf numFmtId="0" fontId="18" fillId="34" borderId="44"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51" fillId="34" borderId="56"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51" fillId="34" borderId="49" xfId="0" applyFont="1" applyFill="1" applyBorder="1" applyAlignment="1">
      <alignment horizontal="center" vertical="center" wrapText="1"/>
    </xf>
    <xf numFmtId="0" fontId="51" fillId="34" borderId="2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1" fillId="34" borderId="69" xfId="0" applyFont="1" applyFill="1" applyBorder="1" applyAlignment="1">
      <alignment horizontal="center" vertical="center"/>
    </xf>
    <xf numFmtId="0" fontId="18" fillId="0" borderId="17"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7" xfId="0" applyFill="1" applyBorder="1" applyAlignment="1">
      <alignment horizontal="left" vertical="center" wrapText="1"/>
    </xf>
    <xf numFmtId="0" fontId="45" fillId="0" borderId="17"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63" xfId="0" applyFont="1" applyFill="1" applyBorder="1" applyAlignment="1">
      <alignment horizontal="center" vertical="center" wrapText="1"/>
    </xf>
    <xf numFmtId="171" fontId="0" fillId="0" borderId="17" xfId="0" applyNumberFormat="1" applyFont="1" applyBorder="1" applyAlignment="1">
      <alignment horizontal="right" vertical="center" wrapText="1"/>
    </xf>
    <xf numFmtId="0" fontId="0" fillId="0" borderId="17" xfId="0" applyFont="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7" xfId="0" applyFont="1" applyFill="1" applyBorder="1" applyAlignment="1">
      <alignment horizontal="center" vertical="center" wrapText="1"/>
    </xf>
    <xf numFmtId="9" fontId="45" fillId="0" borderId="55" xfId="0" applyNumberFormat="1" applyFont="1" applyBorder="1" applyAlignment="1">
      <alignment horizontal="center" vertical="center" wrapText="1"/>
    </xf>
    <xf numFmtId="9" fontId="45" fillId="0" borderId="70" xfId="0" applyNumberFormat="1" applyFont="1" applyBorder="1" applyAlignment="1">
      <alignment horizontal="center" vertical="center" wrapText="1"/>
    </xf>
    <xf numFmtId="9" fontId="45" fillId="0" borderId="38" xfId="0" applyNumberFormat="1" applyFont="1" applyBorder="1" applyAlignment="1">
      <alignment horizontal="center" vertical="center" wrapText="1"/>
    </xf>
    <xf numFmtId="10" fontId="0" fillId="0" borderId="18" xfId="0" applyNumberFormat="1" applyFont="1" applyFill="1" applyBorder="1" applyAlignment="1">
      <alignment horizontal="center" vertical="center" wrapText="1"/>
    </xf>
    <xf numFmtId="1" fontId="45" fillId="0" borderId="55" xfId="0" applyNumberFormat="1" applyFont="1" applyBorder="1" applyAlignment="1">
      <alignment horizontal="center" vertical="center" wrapText="1"/>
    </xf>
    <xf numFmtId="1" fontId="45" fillId="0" borderId="70" xfId="0" applyNumberFormat="1" applyFont="1" applyBorder="1" applyAlignment="1">
      <alignment horizontal="center" vertical="center" wrapText="1"/>
    </xf>
    <xf numFmtId="1" fontId="45" fillId="0" borderId="38" xfId="0" applyNumberFormat="1" applyFont="1" applyBorder="1" applyAlignment="1">
      <alignment horizontal="center" vertical="center" wrapText="1"/>
    </xf>
    <xf numFmtId="0" fontId="0" fillId="0" borderId="17" xfId="0" applyFont="1" applyFill="1" applyBorder="1" applyAlignment="1">
      <alignment horizontal="center" vertical="center" wrapText="1"/>
    </xf>
    <xf numFmtId="0" fontId="44" fillId="26" borderId="21" xfId="0" applyFont="1" applyFill="1" applyBorder="1" applyAlignment="1">
      <alignment horizontal="center" vertical="center" wrapText="1"/>
    </xf>
    <xf numFmtId="0" fontId="45" fillId="0" borderId="17" xfId="0" applyFont="1" applyBorder="1" applyAlignment="1">
      <alignment horizontal="left" vertical="center" wrapText="1"/>
    </xf>
    <xf numFmtId="0" fontId="45" fillId="0" borderId="55" xfId="0" applyFont="1" applyFill="1" applyBorder="1" applyAlignment="1">
      <alignment horizontal="center" vertical="center" wrapText="1"/>
    </xf>
    <xf numFmtId="0" fontId="45" fillId="0" borderId="70" xfId="0" applyFont="1" applyFill="1" applyBorder="1" applyAlignment="1">
      <alignment horizontal="center" vertical="center" wrapText="1"/>
    </xf>
    <xf numFmtId="0" fontId="45" fillId="0" borderId="38" xfId="0" applyFont="1" applyFill="1" applyBorder="1" applyAlignment="1">
      <alignment horizontal="center" vertical="center" wrapText="1"/>
    </xf>
    <xf numFmtId="3" fontId="45" fillId="0" borderId="47" xfId="0" applyNumberFormat="1" applyFont="1" applyBorder="1" applyAlignment="1">
      <alignment horizontal="center" vertical="center" wrapText="1"/>
    </xf>
    <xf numFmtId="3" fontId="45" fillId="0" borderId="52" xfId="0" applyNumberFormat="1" applyFont="1" applyBorder="1" applyAlignment="1">
      <alignment horizontal="center" vertical="center" wrapText="1"/>
    </xf>
    <xf numFmtId="1" fontId="0" fillId="0" borderId="17" xfId="0" applyNumberFormat="1" applyFont="1" applyFill="1" applyBorder="1" applyAlignment="1">
      <alignment horizontal="center" vertical="center" wrapText="1"/>
    </xf>
    <xf numFmtId="3" fontId="45" fillId="0" borderId="55" xfId="0" applyNumberFormat="1" applyFont="1" applyBorder="1" applyAlignment="1">
      <alignment horizontal="center" vertical="center" wrapText="1"/>
    </xf>
    <xf numFmtId="3" fontId="45" fillId="0" borderId="70" xfId="0" applyNumberFormat="1" applyFont="1" applyBorder="1" applyAlignment="1">
      <alignment horizontal="center" vertical="center" wrapText="1"/>
    </xf>
    <xf numFmtId="3" fontId="45" fillId="0" borderId="38" xfId="0" applyNumberFormat="1" applyFont="1" applyBorder="1" applyAlignment="1">
      <alignment horizontal="center"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18" fillId="0" borderId="37" xfId="0" applyFont="1" applyFill="1" applyBorder="1" applyAlignment="1">
      <alignment horizontal="center" vertical="center" wrapText="1"/>
    </xf>
    <xf numFmtId="0" fontId="18" fillId="0" borderId="19" xfId="0" applyFont="1" applyFill="1" applyBorder="1" applyAlignment="1">
      <alignment horizontal="center" vertical="center" wrapText="1"/>
    </xf>
    <xf numFmtId="1" fontId="0" fillId="0" borderId="17" xfId="0" applyNumberFormat="1" applyFont="1" applyFill="1" applyBorder="1" applyAlignment="1">
      <alignment vertical="center" wrapText="1"/>
    </xf>
    <xf numFmtId="1" fontId="45" fillId="0" borderId="55" xfId="0" applyNumberFormat="1" applyFont="1" applyFill="1" applyBorder="1" applyAlignment="1">
      <alignment horizontal="center" vertical="center" wrapText="1"/>
    </xf>
    <xf numFmtId="1" fontId="45" fillId="0" borderId="70" xfId="0" applyNumberFormat="1" applyFont="1" applyFill="1" applyBorder="1" applyAlignment="1">
      <alignment horizontal="center" vertical="center" wrapText="1"/>
    </xf>
    <xf numFmtId="1" fontId="45" fillId="0" borderId="38" xfId="0" applyNumberFormat="1" applyFont="1" applyFill="1" applyBorder="1" applyAlignment="1">
      <alignment horizontal="center" vertical="center" wrapText="1"/>
    </xf>
    <xf numFmtId="3" fontId="45" fillId="0" borderId="18" xfId="0" applyNumberFormat="1" applyFont="1" applyFill="1" applyBorder="1" applyAlignment="1">
      <alignment horizontal="center" vertical="center" wrapText="1"/>
    </xf>
    <xf numFmtId="3" fontId="45" fillId="0" borderId="37" xfId="0" applyNumberFormat="1" applyFont="1" applyFill="1" applyBorder="1" applyAlignment="1">
      <alignment horizontal="center" vertical="center" wrapText="1"/>
    </xf>
    <xf numFmtId="3" fontId="45" fillId="0" borderId="19" xfId="0" applyNumberFormat="1" applyFont="1" applyFill="1" applyBorder="1" applyAlignment="1">
      <alignment horizontal="center" vertical="center" wrapText="1"/>
    </xf>
    <xf numFmtId="1" fontId="45" fillId="0" borderId="18" xfId="0" applyNumberFormat="1" applyFont="1" applyFill="1" applyBorder="1" applyAlignment="1">
      <alignment horizontal="center" vertical="center" wrapText="1"/>
    </xf>
    <xf numFmtId="1" fontId="45" fillId="0" borderId="37" xfId="0" applyNumberFormat="1" applyFont="1" applyFill="1" applyBorder="1" applyAlignment="1">
      <alignment horizontal="center" vertical="center" wrapText="1"/>
    </xf>
    <xf numFmtId="1" fontId="45" fillId="0" borderId="19"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24" fillId="0" borderId="17" xfId="0" applyFont="1" applyBorder="1" applyAlignment="1">
      <alignment horizontal="center" vertical="center" wrapText="1"/>
    </xf>
    <xf numFmtId="0" fontId="0" fillId="0" borderId="17" xfId="0" applyBorder="1" applyAlignment="1">
      <alignment horizontal="left" vertical="center" wrapText="1"/>
    </xf>
    <xf numFmtId="0" fontId="0" fillId="0" borderId="42" xfId="0" applyFont="1" applyFill="1" applyBorder="1" applyAlignment="1">
      <alignment horizontal="center" vertical="center" wrapText="1"/>
    </xf>
    <xf numFmtId="0" fontId="44" fillId="31" borderId="20" xfId="0" applyFont="1" applyFill="1" applyBorder="1" applyAlignment="1">
      <alignment horizontal="center" vertical="center" wrapText="1"/>
    </xf>
    <xf numFmtId="0" fontId="44" fillId="31" borderId="51" xfId="0" applyFont="1" applyFill="1" applyBorder="1" applyAlignment="1">
      <alignment horizontal="center" vertical="center" wrapText="1"/>
    </xf>
    <xf numFmtId="0" fontId="44" fillId="31" borderId="21" xfId="0" applyFon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1" fontId="0" fillId="0" borderId="17" xfId="0" applyNumberFormat="1" applyFont="1" applyBorder="1" applyAlignment="1">
      <alignment horizontal="center" vertical="center" wrapText="1"/>
    </xf>
    <xf numFmtId="1" fontId="0" fillId="0" borderId="17" xfId="0" applyNumberFormat="1" applyFont="1" applyBorder="1" applyAlignment="1">
      <alignment horizontal="left" vertical="center" wrapText="1"/>
    </xf>
    <xf numFmtId="1" fontId="0" fillId="0" borderId="17" xfId="0" applyNumberFormat="1" applyFont="1" applyBorder="1" applyAlignment="1">
      <alignment horizontal="left"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19"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19" xfId="0" applyFont="1" applyBorder="1" applyAlignment="1">
      <alignment horizontal="center" vertical="center" wrapText="1"/>
    </xf>
    <xf numFmtId="0" fontId="27" fillId="0" borderId="18"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18" xfId="0" applyFont="1" applyBorder="1" applyAlignment="1">
      <alignment horizontal="center" vertical="center" wrapText="1"/>
    </xf>
    <xf numFmtId="10" fontId="27" fillId="0" borderId="18" xfId="0" applyNumberFormat="1" applyFont="1" applyFill="1" applyBorder="1" applyAlignment="1">
      <alignment horizontal="center" vertical="center" wrapText="1"/>
    </xf>
    <xf numFmtId="10" fontId="27" fillId="0" borderId="37" xfId="0" applyNumberFormat="1" applyFont="1" applyFill="1" applyBorder="1" applyAlignment="1">
      <alignment horizontal="center" vertical="center" wrapText="1"/>
    </xf>
    <xf numFmtId="10" fontId="27" fillId="0" borderId="19" xfId="0" applyNumberFormat="1" applyFont="1" applyFill="1" applyBorder="1" applyAlignment="1">
      <alignment horizontal="center" vertical="center" wrapText="1"/>
    </xf>
    <xf numFmtId="0" fontId="29" fillId="30" borderId="54" xfId="0" applyFont="1" applyFill="1" applyBorder="1" applyAlignment="1">
      <alignment horizontal="center" vertical="center" wrapText="1"/>
    </xf>
    <xf numFmtId="0" fontId="29" fillId="30" borderId="62" xfId="0" applyFont="1" applyFill="1" applyBorder="1" applyAlignment="1">
      <alignment horizontal="center" vertical="center" wrapText="1"/>
    </xf>
    <xf numFmtId="10" fontId="27" fillId="0" borderId="36" xfId="0" applyNumberFormat="1" applyFont="1" applyFill="1" applyBorder="1" applyAlignment="1">
      <alignment horizontal="center" vertical="center" wrapText="1"/>
    </xf>
    <xf numFmtId="171" fontId="27" fillId="0" borderId="17" xfId="0" applyNumberFormat="1" applyFont="1" applyBorder="1" applyAlignment="1">
      <alignment horizontal="right" vertical="center" wrapText="1"/>
    </xf>
    <xf numFmtId="171" fontId="27" fillId="0" borderId="18" xfId="0" applyNumberFormat="1" applyFont="1" applyBorder="1" applyAlignment="1">
      <alignment horizontal="center" vertical="center" wrapText="1"/>
    </xf>
    <xf numFmtId="171" fontId="27" fillId="0" borderId="19" xfId="0" applyNumberFormat="1" applyFont="1" applyBorder="1" applyAlignment="1">
      <alignment horizontal="center" vertical="center" wrapText="1"/>
    </xf>
    <xf numFmtId="10" fontId="27" fillId="0" borderId="36" xfId="0" applyNumberFormat="1" applyFont="1" applyBorder="1" applyAlignment="1">
      <alignment horizontal="center" vertical="center" wrapText="1"/>
    </xf>
    <xf numFmtId="10" fontId="27" fillId="0" borderId="48" xfId="0" applyNumberFormat="1" applyFont="1" applyBorder="1" applyAlignment="1">
      <alignment horizontal="center" vertical="center" wrapText="1"/>
    </xf>
    <xf numFmtId="0" fontId="27" fillId="0" borderId="57"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17"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17" xfId="0" applyFont="1" applyBorder="1" applyAlignment="1">
      <alignment horizontal="left" vertical="center" wrapText="1"/>
    </xf>
    <xf numFmtId="0" fontId="27" fillId="0" borderId="23" xfId="0" applyFont="1" applyBorder="1" applyAlignment="1">
      <alignment horizontal="left"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10" fontId="27" fillId="0" borderId="48" xfId="0" applyNumberFormat="1" applyFont="1" applyFill="1" applyBorder="1" applyAlignment="1">
      <alignment horizontal="center" vertical="center" wrapText="1"/>
    </xf>
    <xf numFmtId="1" fontId="27" fillId="0" borderId="17" xfId="0" applyNumberFormat="1" applyFont="1" applyBorder="1" applyAlignment="1">
      <alignment horizontal="center" vertical="center" wrapText="1"/>
    </xf>
    <xf numFmtId="0" fontId="27" fillId="0" borderId="17" xfId="0" applyFont="1" applyFill="1" applyBorder="1" applyAlignment="1">
      <alignment horizontal="left" vertical="center" wrapText="1"/>
    </xf>
    <xf numFmtId="0" fontId="48" fillId="0" borderId="17" xfId="0" applyFont="1" applyFill="1" applyBorder="1" applyAlignment="1">
      <alignment horizontal="center" vertical="center" wrapText="1"/>
    </xf>
    <xf numFmtId="0" fontId="27" fillId="0" borderId="17" xfId="0" applyFont="1" applyBorder="1" applyAlignment="1">
      <alignment vertical="center" wrapText="1"/>
    </xf>
    <xf numFmtId="0" fontId="29" fillId="0" borderId="37"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7" fillId="0" borderId="18" xfId="0" applyFont="1" applyBorder="1" applyAlignment="1">
      <alignment horizontal="left" vertical="center" wrapText="1"/>
    </xf>
    <xf numFmtId="0" fontId="27" fillId="0" borderId="19" xfId="0" applyFont="1" applyBorder="1" applyAlignment="1">
      <alignment horizontal="left" vertical="center" wrapText="1"/>
    </xf>
    <xf numFmtId="1" fontId="27" fillId="0" borderId="17" xfId="0" applyNumberFormat="1" applyFont="1" applyFill="1" applyBorder="1" applyAlignment="1">
      <alignment horizontal="center" vertical="center" wrapText="1"/>
    </xf>
    <xf numFmtId="0" fontId="49" fillId="0" borderId="17" xfId="0" applyFont="1" applyBorder="1" applyAlignment="1">
      <alignment horizontal="left" vertical="center" wrapText="1"/>
    </xf>
    <xf numFmtId="0" fontId="27" fillId="0" borderId="36" xfId="0" applyFont="1" applyFill="1" applyBorder="1" applyAlignment="1">
      <alignment horizontal="center" vertical="center" wrapText="1"/>
    </xf>
    <xf numFmtId="0" fontId="29" fillId="24" borderId="36" xfId="0" applyFont="1" applyFill="1" applyBorder="1" applyAlignment="1">
      <alignment horizontal="center" vertical="center" wrapText="1"/>
    </xf>
    <xf numFmtId="0" fontId="29" fillId="24" borderId="48" xfId="0" applyFont="1" applyFill="1" applyBorder="1" applyAlignment="1">
      <alignment horizontal="center" vertical="center" wrapText="1"/>
    </xf>
    <xf numFmtId="0" fontId="29" fillId="30" borderId="30" xfId="0" applyFont="1" applyFill="1" applyBorder="1" applyAlignment="1">
      <alignment horizontal="center" vertical="center" wrapText="1"/>
    </xf>
    <xf numFmtId="0" fontId="29" fillId="30" borderId="64" xfId="0" applyFont="1" applyFill="1" applyBorder="1" applyAlignment="1">
      <alignment horizontal="center" vertical="center" wrapText="1"/>
    </xf>
    <xf numFmtId="0" fontId="27" fillId="0" borderId="24"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36" xfId="0" applyFont="1" applyBorder="1" applyAlignment="1">
      <alignment horizontal="left" vertical="center" wrapText="1"/>
    </xf>
    <xf numFmtId="0" fontId="29" fillId="34" borderId="36" xfId="0" applyFont="1" applyFill="1" applyBorder="1" applyAlignment="1">
      <alignment horizontal="center" vertical="center" wrapText="1"/>
    </xf>
    <xf numFmtId="0" fontId="29" fillId="34" borderId="48" xfId="0" applyFont="1" applyFill="1" applyBorder="1" applyAlignment="1">
      <alignment horizontal="center" vertical="center" wrapText="1"/>
    </xf>
    <xf numFmtId="0" fontId="29" fillId="34" borderId="54" xfId="0" applyFont="1" applyFill="1" applyBorder="1" applyAlignment="1">
      <alignment horizontal="center" vertical="center" wrapText="1"/>
    </xf>
    <xf numFmtId="0" fontId="29" fillId="34" borderId="62" xfId="0" applyFont="1" applyFill="1" applyBorder="1" applyAlignment="1">
      <alignment horizontal="center" vertical="center" wrapText="1"/>
    </xf>
    <xf numFmtId="0" fontId="29" fillId="30" borderId="65"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134"/>
  <sheetViews>
    <sheetView showGridLines="0" tabSelected="1" zoomScalePageLayoutView="0" workbookViewId="0" topLeftCell="O1">
      <selection activeCell="Q10" sqref="Q10:Q11"/>
    </sheetView>
  </sheetViews>
  <sheetFormatPr defaultColWidth="11.421875" defaultRowHeight="12.75"/>
  <cols>
    <col min="1" max="1" width="27.00390625" style="6" customWidth="1"/>
    <col min="2" max="2" width="30.57421875" style="6" customWidth="1"/>
    <col min="3" max="3" width="19.421875" style="6" customWidth="1"/>
    <col min="4" max="4" width="40.57421875" style="6" customWidth="1"/>
    <col min="5" max="5" width="12.57421875" style="6" customWidth="1"/>
    <col min="6" max="6" width="15.57421875" style="6" customWidth="1"/>
    <col min="7" max="8" width="35.57421875" style="6" customWidth="1"/>
    <col min="9" max="9" width="40.57421875" style="6" customWidth="1"/>
    <col min="10" max="10" width="12.57421875" style="6" customWidth="1"/>
    <col min="11" max="11" width="15.57421875" style="6" customWidth="1"/>
    <col min="12" max="12" width="23.421875" style="6" customWidth="1"/>
    <col min="13" max="13" width="20.140625" style="6" customWidth="1"/>
    <col min="14" max="14" width="20.421875" style="9" customWidth="1"/>
    <col min="15" max="15" width="50.00390625" style="9" customWidth="1"/>
    <col min="16" max="16" width="35.7109375" style="9" customWidth="1"/>
    <col min="17" max="17" width="41.421875" style="9" customWidth="1"/>
    <col min="18" max="18" width="44.00390625" style="9" customWidth="1"/>
    <col min="19" max="19" width="35.8515625" style="9" customWidth="1"/>
    <col min="20" max="20" width="15.57421875" style="9" customWidth="1"/>
    <col min="21" max="22" width="24.421875" style="9" customWidth="1"/>
    <col min="23" max="23" width="22.8515625" style="9" customWidth="1"/>
    <col min="24" max="24" width="21.7109375" style="9" customWidth="1"/>
    <col min="25" max="25" width="26.57421875" style="9" customWidth="1"/>
    <col min="26" max="26" width="28.57421875" style="9" customWidth="1"/>
    <col min="27" max="27" width="28.140625" style="9" customWidth="1"/>
    <col min="28" max="28" width="25.57421875" style="9" customWidth="1"/>
    <col min="29" max="29" width="30.7109375" style="9" customWidth="1"/>
    <col min="30" max="30" width="13.57421875" style="2" hidden="1" customWidth="1"/>
    <col min="31" max="31" width="15.140625" style="2" hidden="1" customWidth="1"/>
    <col min="32" max="35" width="11.421875" style="2" hidden="1" customWidth="1"/>
    <col min="36" max="16384" width="11.421875" style="2" customWidth="1"/>
  </cols>
  <sheetData>
    <row r="1" spans="1:34" ht="22.5" customHeight="1">
      <c r="A1" s="466"/>
      <c r="B1" s="467"/>
      <c r="C1" s="370" t="s">
        <v>354</v>
      </c>
      <c r="D1" s="371"/>
      <c r="E1" s="371"/>
      <c r="F1" s="371"/>
      <c r="G1" s="371"/>
      <c r="H1" s="371"/>
      <c r="I1" s="371"/>
      <c r="J1" s="371"/>
      <c r="K1" s="371"/>
      <c r="L1" s="371"/>
      <c r="M1" s="371"/>
      <c r="N1" s="371"/>
      <c r="O1" s="371"/>
      <c r="P1" s="371"/>
      <c r="Q1" s="371"/>
      <c r="R1" s="371"/>
      <c r="S1" s="371"/>
      <c r="T1" s="371"/>
      <c r="U1" s="371"/>
      <c r="V1" s="371"/>
      <c r="W1" s="371"/>
      <c r="X1" s="371"/>
      <c r="Y1" s="371"/>
      <c r="Z1" s="371"/>
      <c r="AA1" s="371"/>
      <c r="AB1" s="372"/>
      <c r="AC1" s="109" t="s">
        <v>353</v>
      </c>
      <c r="AD1" s="100"/>
      <c r="AE1" s="100"/>
      <c r="AF1" s="100"/>
      <c r="AG1" s="100"/>
      <c r="AH1" s="101"/>
    </row>
    <row r="2" spans="1:34" ht="25.5" customHeight="1">
      <c r="A2" s="468"/>
      <c r="B2" s="449"/>
      <c r="C2" s="373"/>
      <c r="D2" s="374"/>
      <c r="E2" s="374"/>
      <c r="F2" s="374"/>
      <c r="G2" s="374"/>
      <c r="H2" s="374"/>
      <c r="I2" s="374"/>
      <c r="J2" s="374"/>
      <c r="K2" s="374"/>
      <c r="L2" s="374"/>
      <c r="M2" s="374"/>
      <c r="N2" s="374"/>
      <c r="O2" s="374"/>
      <c r="P2" s="374"/>
      <c r="Q2" s="374"/>
      <c r="R2" s="374"/>
      <c r="S2" s="374"/>
      <c r="T2" s="374"/>
      <c r="U2" s="374"/>
      <c r="V2" s="374"/>
      <c r="W2" s="374"/>
      <c r="X2" s="374"/>
      <c r="Y2" s="374"/>
      <c r="Z2" s="374"/>
      <c r="AA2" s="374"/>
      <c r="AB2" s="375"/>
      <c r="AC2" s="109" t="s">
        <v>163</v>
      </c>
      <c r="AD2" s="102"/>
      <c r="AE2" s="102"/>
      <c r="AF2" s="102"/>
      <c r="AG2" s="102"/>
      <c r="AH2" s="103"/>
    </row>
    <row r="3" spans="1:34" ht="20.25" customHeight="1">
      <c r="A3" s="468"/>
      <c r="B3" s="449"/>
      <c r="C3" s="376" t="s">
        <v>2</v>
      </c>
      <c r="D3" s="377"/>
      <c r="E3" s="377"/>
      <c r="F3" s="377"/>
      <c r="G3" s="377"/>
      <c r="H3" s="377"/>
      <c r="I3" s="377"/>
      <c r="J3" s="377"/>
      <c r="K3" s="377"/>
      <c r="L3" s="377"/>
      <c r="M3" s="377"/>
      <c r="N3" s="377"/>
      <c r="O3" s="377"/>
      <c r="P3" s="377"/>
      <c r="Q3" s="377"/>
      <c r="R3" s="377"/>
      <c r="S3" s="377"/>
      <c r="T3" s="377"/>
      <c r="U3" s="377"/>
      <c r="V3" s="377"/>
      <c r="W3" s="377"/>
      <c r="X3" s="377"/>
      <c r="Y3" s="377"/>
      <c r="Z3" s="377"/>
      <c r="AA3" s="377"/>
      <c r="AB3" s="378"/>
      <c r="AC3" s="109" t="s">
        <v>164</v>
      </c>
      <c r="AD3" s="104"/>
      <c r="AE3" s="104"/>
      <c r="AF3" s="104"/>
      <c r="AG3" s="104"/>
      <c r="AH3" s="105"/>
    </row>
    <row r="4" spans="1:34" ht="27.75" customHeight="1" thickBot="1">
      <c r="A4" s="469"/>
      <c r="B4" s="470"/>
      <c r="C4" s="376" t="s">
        <v>3</v>
      </c>
      <c r="D4" s="377"/>
      <c r="E4" s="377"/>
      <c r="F4" s="377"/>
      <c r="G4" s="377"/>
      <c r="H4" s="377"/>
      <c r="I4" s="377"/>
      <c r="J4" s="377"/>
      <c r="K4" s="377"/>
      <c r="L4" s="377"/>
      <c r="M4" s="377"/>
      <c r="N4" s="377"/>
      <c r="O4" s="377"/>
      <c r="P4" s="377"/>
      <c r="Q4" s="377"/>
      <c r="R4" s="377"/>
      <c r="S4" s="377"/>
      <c r="T4" s="377"/>
      <c r="U4" s="377"/>
      <c r="V4" s="377"/>
      <c r="W4" s="377"/>
      <c r="X4" s="377"/>
      <c r="Y4" s="377"/>
      <c r="Z4" s="377"/>
      <c r="AA4" s="377"/>
      <c r="AB4" s="378"/>
      <c r="AC4" s="109" t="s">
        <v>5</v>
      </c>
      <c r="AD4" s="106"/>
      <c r="AE4" s="106"/>
      <c r="AF4" s="106"/>
      <c r="AG4" s="106"/>
      <c r="AH4" s="107"/>
    </row>
    <row r="5" spans="1:29" ht="19.5" customHeight="1" thickBot="1">
      <c r="A5" s="396" t="s">
        <v>355</v>
      </c>
      <c r="B5" s="396"/>
      <c r="C5" s="396"/>
      <c r="D5" s="396"/>
      <c r="E5" s="396"/>
      <c r="F5" s="396"/>
      <c r="G5" s="404"/>
      <c r="H5" s="379" t="s">
        <v>356</v>
      </c>
      <c r="I5" s="380"/>
      <c r="J5" s="380"/>
      <c r="K5" s="380"/>
      <c r="L5" s="380"/>
      <c r="M5" s="380"/>
      <c r="N5" s="380"/>
      <c r="O5" s="380"/>
      <c r="P5" s="380"/>
      <c r="Q5" s="380"/>
      <c r="R5" s="380"/>
      <c r="S5" s="380"/>
      <c r="T5" s="380"/>
      <c r="U5" s="380"/>
      <c r="V5" s="380"/>
      <c r="W5" s="380"/>
      <c r="X5" s="380"/>
      <c r="Y5" s="380"/>
      <c r="Z5" s="380"/>
      <c r="AA5" s="380"/>
      <c r="AB5" s="380"/>
      <c r="AC5" s="380"/>
    </row>
    <row r="6" spans="1:29" ht="24" customHeight="1" thickBot="1">
      <c r="A6" s="396" t="s">
        <v>153</v>
      </c>
      <c r="B6" s="396"/>
      <c r="C6" s="396"/>
      <c r="D6" s="396"/>
      <c r="E6" s="396"/>
      <c r="F6" s="396"/>
      <c r="G6" s="396"/>
      <c r="H6" s="396"/>
      <c r="I6" s="396"/>
      <c r="J6" s="396"/>
      <c r="K6" s="404"/>
      <c r="L6" s="395" t="s">
        <v>154</v>
      </c>
      <c r="M6" s="396"/>
      <c r="N6" s="396"/>
      <c r="O6" s="396"/>
      <c r="P6" s="396"/>
      <c r="Q6" s="396"/>
      <c r="R6" s="396"/>
      <c r="S6" s="396"/>
      <c r="T6" s="396"/>
      <c r="U6" s="396"/>
      <c r="V6" s="396"/>
      <c r="W6" s="396"/>
      <c r="X6" s="396"/>
      <c r="Y6" s="396"/>
      <c r="Z6" s="396"/>
      <c r="AA6" s="396"/>
      <c r="AB6" s="396"/>
      <c r="AC6" s="396"/>
    </row>
    <row r="7" spans="1:29" s="3" customFormat="1" ht="9" customHeight="1" thickBot="1">
      <c r="A7" s="449"/>
      <c r="B7" s="449"/>
      <c r="C7" s="449"/>
      <c r="D7" s="449"/>
      <c r="E7" s="449"/>
      <c r="F7" s="449"/>
      <c r="G7" s="449"/>
      <c r="H7" s="5"/>
      <c r="I7" s="7"/>
      <c r="J7" s="7"/>
      <c r="K7" s="7"/>
      <c r="L7" s="7"/>
      <c r="M7" s="7"/>
      <c r="N7" s="7"/>
      <c r="O7" s="7"/>
      <c r="P7" s="7"/>
      <c r="Q7" s="7"/>
      <c r="R7" s="7"/>
      <c r="S7" s="7"/>
      <c r="T7" s="7"/>
      <c r="U7" s="7"/>
      <c r="V7" s="7"/>
      <c r="W7" s="7"/>
      <c r="X7" s="7"/>
      <c r="Y7" s="7"/>
      <c r="Z7" s="7"/>
      <c r="AA7" s="7"/>
      <c r="AB7" s="7"/>
      <c r="AC7" s="7"/>
    </row>
    <row r="8" spans="1:29" s="3" customFormat="1" ht="24.75" customHeight="1" thickBot="1">
      <c r="A8" s="459" t="s">
        <v>27</v>
      </c>
      <c r="B8" s="460"/>
      <c r="C8" s="460"/>
      <c r="D8" s="460"/>
      <c r="E8" s="460"/>
      <c r="F8" s="460"/>
      <c r="G8" s="460"/>
      <c r="H8" s="460"/>
      <c r="I8" s="460"/>
      <c r="J8" s="460"/>
      <c r="K8" s="461"/>
      <c r="L8" s="477" t="s">
        <v>14</v>
      </c>
      <c r="M8" s="477"/>
      <c r="N8" s="478"/>
      <c r="O8" s="389" t="s">
        <v>28</v>
      </c>
      <c r="P8" s="390"/>
      <c r="Q8" s="391"/>
      <c r="R8" s="392" t="s">
        <v>365</v>
      </c>
      <c r="S8" s="393"/>
      <c r="T8" s="392" t="s">
        <v>366</v>
      </c>
      <c r="U8" s="394"/>
      <c r="V8" s="394"/>
      <c r="W8" s="394"/>
      <c r="X8" s="394"/>
      <c r="Y8" s="393"/>
      <c r="Z8" s="392" t="s">
        <v>367</v>
      </c>
      <c r="AA8" s="394"/>
      <c r="AB8" s="127" t="s">
        <v>368</v>
      </c>
      <c r="AC8" s="128" t="s">
        <v>15</v>
      </c>
    </row>
    <row r="9" spans="1:29" s="4" customFormat="1" ht="24" customHeight="1" thickBot="1">
      <c r="A9" s="450" t="s">
        <v>16</v>
      </c>
      <c r="B9" s="453" t="s">
        <v>17</v>
      </c>
      <c r="C9" s="453" t="s">
        <v>18</v>
      </c>
      <c r="D9" s="456" t="s">
        <v>19</v>
      </c>
      <c r="E9" s="457"/>
      <c r="F9" s="471"/>
      <c r="G9" s="453" t="s">
        <v>20</v>
      </c>
      <c r="H9" s="453" t="s">
        <v>21</v>
      </c>
      <c r="I9" s="456" t="s">
        <v>165</v>
      </c>
      <c r="J9" s="457"/>
      <c r="K9" s="458"/>
      <c r="L9" s="22">
        <v>1</v>
      </c>
      <c r="M9" s="17">
        <v>2</v>
      </c>
      <c r="N9" s="17">
        <v>3</v>
      </c>
      <c r="O9" s="22">
        <v>4</v>
      </c>
      <c r="P9" s="17">
        <v>5</v>
      </c>
      <c r="Q9" s="17">
        <v>6</v>
      </c>
      <c r="R9" s="17">
        <v>7</v>
      </c>
      <c r="S9" s="17">
        <v>8</v>
      </c>
      <c r="T9" s="17">
        <v>9</v>
      </c>
      <c r="U9" s="17">
        <v>10</v>
      </c>
      <c r="V9" s="17">
        <v>11</v>
      </c>
      <c r="W9" s="17">
        <v>12</v>
      </c>
      <c r="X9" s="17">
        <v>13</v>
      </c>
      <c r="Y9" s="17">
        <v>14</v>
      </c>
      <c r="Z9" s="17">
        <v>15</v>
      </c>
      <c r="AA9" s="17">
        <v>16</v>
      </c>
      <c r="AB9" s="17">
        <v>17</v>
      </c>
      <c r="AC9" s="17">
        <v>18</v>
      </c>
    </row>
    <row r="10" spans="1:29" s="4" customFormat="1" ht="109.5" customHeight="1" thickBot="1">
      <c r="A10" s="451"/>
      <c r="B10" s="454"/>
      <c r="C10" s="454"/>
      <c r="D10" s="405" t="s">
        <v>22</v>
      </c>
      <c r="E10" s="405" t="s">
        <v>23</v>
      </c>
      <c r="F10" s="405" t="s">
        <v>24</v>
      </c>
      <c r="G10" s="454"/>
      <c r="H10" s="454"/>
      <c r="I10" s="406" t="s">
        <v>22</v>
      </c>
      <c r="J10" s="462" t="s">
        <v>25</v>
      </c>
      <c r="K10" s="464" t="s">
        <v>26</v>
      </c>
      <c r="L10" s="387" t="s">
        <v>4</v>
      </c>
      <c r="M10" s="397" t="s">
        <v>6</v>
      </c>
      <c r="N10" s="397" t="s">
        <v>7</v>
      </c>
      <c r="O10" s="397" t="s">
        <v>31</v>
      </c>
      <c r="P10" s="387" t="s">
        <v>30</v>
      </c>
      <c r="Q10" s="397" t="s">
        <v>29</v>
      </c>
      <c r="R10" s="401" t="s">
        <v>357</v>
      </c>
      <c r="S10" s="110" t="s">
        <v>358</v>
      </c>
      <c r="T10" s="397" t="s">
        <v>161</v>
      </c>
      <c r="U10" s="397" t="s">
        <v>8</v>
      </c>
      <c r="V10" s="397" t="s">
        <v>1</v>
      </c>
      <c r="W10" s="399" t="s">
        <v>162</v>
      </c>
      <c r="X10" s="401" t="s">
        <v>360</v>
      </c>
      <c r="Y10" s="110" t="s">
        <v>358</v>
      </c>
      <c r="Z10" s="401" t="s">
        <v>361</v>
      </c>
      <c r="AA10" s="401" t="s">
        <v>362</v>
      </c>
      <c r="AB10" s="401" t="s">
        <v>363</v>
      </c>
      <c r="AC10" s="387" t="s">
        <v>0</v>
      </c>
    </row>
    <row r="11" spans="1:29" s="1" customFormat="1" ht="85.5" customHeight="1" thickBot="1">
      <c r="A11" s="452"/>
      <c r="B11" s="455"/>
      <c r="C11" s="455"/>
      <c r="D11" s="405"/>
      <c r="E11" s="405"/>
      <c r="F11" s="405"/>
      <c r="G11" s="455"/>
      <c r="H11" s="455"/>
      <c r="I11" s="407"/>
      <c r="J11" s="463"/>
      <c r="K11" s="465"/>
      <c r="L11" s="388"/>
      <c r="M11" s="398"/>
      <c r="N11" s="398"/>
      <c r="O11" s="398"/>
      <c r="P11" s="388"/>
      <c r="Q11" s="398"/>
      <c r="R11" s="403"/>
      <c r="S11" s="111" t="s">
        <v>359</v>
      </c>
      <c r="T11" s="398"/>
      <c r="U11" s="398"/>
      <c r="V11" s="398"/>
      <c r="W11" s="400"/>
      <c r="X11" s="402"/>
      <c r="Y11" s="111" t="s">
        <v>364</v>
      </c>
      <c r="Z11" s="402"/>
      <c r="AA11" s="402"/>
      <c r="AB11" s="402"/>
      <c r="AC11" s="388"/>
    </row>
    <row r="12" spans="1:29" s="1" customFormat="1" ht="96" customHeight="1" thickBot="1">
      <c r="A12" s="363" t="s">
        <v>32</v>
      </c>
      <c r="B12" s="365" t="s">
        <v>33</v>
      </c>
      <c r="C12" s="367" t="s">
        <v>34</v>
      </c>
      <c r="D12" s="368" t="s">
        <v>35</v>
      </c>
      <c r="E12" s="342">
        <v>0</v>
      </c>
      <c r="F12" s="342">
        <v>4</v>
      </c>
      <c r="G12" s="414" t="s">
        <v>36</v>
      </c>
      <c r="H12" s="414" t="s">
        <v>37</v>
      </c>
      <c r="I12" s="356" t="s">
        <v>38</v>
      </c>
      <c r="J12" s="358">
        <v>0</v>
      </c>
      <c r="K12" s="360">
        <v>4</v>
      </c>
      <c r="L12" s="431">
        <v>2020630010111</v>
      </c>
      <c r="M12" s="473" t="s">
        <v>155</v>
      </c>
      <c r="N12" s="473" t="s">
        <v>157</v>
      </c>
      <c r="O12" s="352" t="s">
        <v>199</v>
      </c>
      <c r="P12" s="362">
        <v>1</v>
      </c>
      <c r="Q12" s="349">
        <v>1</v>
      </c>
      <c r="R12" s="349">
        <v>0.15</v>
      </c>
      <c r="S12" s="350">
        <f>R12/Q12</f>
        <v>0.15</v>
      </c>
      <c r="T12" s="352" t="s">
        <v>37</v>
      </c>
      <c r="U12" s="156" t="s">
        <v>197</v>
      </c>
      <c r="V12" s="56" t="s">
        <v>194</v>
      </c>
      <c r="W12" s="91">
        <v>262266353</v>
      </c>
      <c r="X12" s="112">
        <v>15</v>
      </c>
      <c r="Y12" s="141">
        <f>X12/W12</f>
        <v>5.7193764386543327E-08</v>
      </c>
      <c r="Z12" s="353" t="s">
        <v>370</v>
      </c>
      <c r="AA12" s="354" t="s">
        <v>371</v>
      </c>
      <c r="AB12" s="355" t="s">
        <v>372</v>
      </c>
      <c r="AC12" s="347" t="s">
        <v>317</v>
      </c>
    </row>
    <row r="13" spans="1:29" s="1" customFormat="1" ht="96" customHeight="1" thickBot="1">
      <c r="A13" s="364"/>
      <c r="B13" s="366"/>
      <c r="C13" s="317"/>
      <c r="D13" s="369"/>
      <c r="E13" s="317"/>
      <c r="F13" s="317"/>
      <c r="G13" s="415"/>
      <c r="H13" s="415"/>
      <c r="I13" s="357"/>
      <c r="J13" s="359"/>
      <c r="K13" s="361"/>
      <c r="L13" s="432"/>
      <c r="M13" s="474"/>
      <c r="N13" s="474"/>
      <c r="O13" s="303"/>
      <c r="P13" s="317"/>
      <c r="Q13" s="317"/>
      <c r="R13" s="317"/>
      <c r="S13" s="351"/>
      <c r="T13" s="303"/>
      <c r="U13" s="155" t="s">
        <v>369</v>
      </c>
      <c r="V13" s="155" t="s">
        <v>188</v>
      </c>
      <c r="W13" s="153">
        <v>587733647</v>
      </c>
      <c r="X13" s="154">
        <v>0</v>
      </c>
      <c r="Y13" s="141">
        <f>X13/W13</f>
        <v>0</v>
      </c>
      <c r="Z13" s="318"/>
      <c r="AA13" s="318"/>
      <c r="AB13" s="318"/>
      <c r="AC13" s="333"/>
    </row>
    <row r="14" spans="1:29" s="1" customFormat="1" ht="68.25" customHeight="1" thickBot="1">
      <c r="A14" s="40" t="s">
        <v>32</v>
      </c>
      <c r="B14" s="24" t="s">
        <v>33</v>
      </c>
      <c r="C14" s="25" t="s">
        <v>39</v>
      </c>
      <c r="D14" s="26" t="s">
        <v>35</v>
      </c>
      <c r="E14" s="25">
        <v>1</v>
      </c>
      <c r="F14" s="25">
        <v>4</v>
      </c>
      <c r="G14" s="27" t="s">
        <v>36</v>
      </c>
      <c r="H14" s="27" t="s">
        <v>40</v>
      </c>
      <c r="I14" s="50" t="s">
        <v>41</v>
      </c>
      <c r="J14" s="28">
        <v>1</v>
      </c>
      <c r="K14" s="43">
        <v>4</v>
      </c>
      <c r="L14" s="429"/>
      <c r="M14" s="433"/>
      <c r="N14" s="433"/>
      <c r="O14" s="47" t="s">
        <v>200</v>
      </c>
      <c r="P14" s="77">
        <v>0</v>
      </c>
      <c r="Q14" s="48">
        <v>1</v>
      </c>
      <c r="R14" s="48">
        <v>0.3</v>
      </c>
      <c r="S14" s="140">
        <f>R14/Q14</f>
        <v>0.3</v>
      </c>
      <c r="T14" s="47" t="s">
        <v>40</v>
      </c>
      <c r="U14" s="47" t="s">
        <v>198</v>
      </c>
      <c r="V14" s="47" t="s">
        <v>194</v>
      </c>
      <c r="W14" s="64">
        <v>80000000</v>
      </c>
      <c r="X14" s="113">
        <v>0</v>
      </c>
      <c r="Y14" s="141">
        <f aca="true" t="shared" si="0" ref="Y14:Y82">X14/W14</f>
        <v>0</v>
      </c>
      <c r="Z14" s="113" t="s">
        <v>370</v>
      </c>
      <c r="AA14" s="113" t="s">
        <v>371</v>
      </c>
      <c r="AB14" s="113" t="s">
        <v>373</v>
      </c>
      <c r="AC14" s="98" t="s">
        <v>317</v>
      </c>
    </row>
    <row r="15" spans="1:29" s="1" customFormat="1" ht="152.25" customHeight="1" thickBot="1">
      <c r="A15" s="40" t="s">
        <v>32</v>
      </c>
      <c r="B15" s="24" t="s">
        <v>42</v>
      </c>
      <c r="C15" s="25" t="s">
        <v>43</v>
      </c>
      <c r="D15" s="26" t="s">
        <v>44</v>
      </c>
      <c r="E15" s="25">
        <v>0</v>
      </c>
      <c r="F15" s="25">
        <v>1</v>
      </c>
      <c r="G15" s="27" t="s">
        <v>45</v>
      </c>
      <c r="H15" s="27" t="s">
        <v>46</v>
      </c>
      <c r="I15" s="50" t="s">
        <v>41</v>
      </c>
      <c r="J15" s="28">
        <v>0</v>
      </c>
      <c r="K15" s="43">
        <v>1</v>
      </c>
      <c r="L15" s="92">
        <v>2020630010104</v>
      </c>
      <c r="M15" s="46" t="s">
        <v>168</v>
      </c>
      <c r="N15" s="46" t="s">
        <v>332</v>
      </c>
      <c r="O15" s="69" t="s">
        <v>346</v>
      </c>
      <c r="P15" s="78">
        <v>0</v>
      </c>
      <c r="Q15" s="76">
        <v>1</v>
      </c>
      <c r="R15" s="76">
        <v>0.6</v>
      </c>
      <c r="S15" s="140">
        <f>R15/Q15</f>
        <v>0.6</v>
      </c>
      <c r="T15" s="54" t="s">
        <v>195</v>
      </c>
      <c r="U15" s="47" t="s">
        <v>196</v>
      </c>
      <c r="V15" s="55" t="s">
        <v>194</v>
      </c>
      <c r="W15" s="64">
        <v>320000000</v>
      </c>
      <c r="X15" s="113">
        <v>319000028</v>
      </c>
      <c r="Y15" s="141">
        <f t="shared" si="0"/>
        <v>0.9968750875</v>
      </c>
      <c r="Z15" s="113" t="s">
        <v>370</v>
      </c>
      <c r="AA15" s="113" t="s">
        <v>371</v>
      </c>
      <c r="AB15" s="113" t="s">
        <v>374</v>
      </c>
      <c r="AC15" s="98" t="s">
        <v>317</v>
      </c>
    </row>
    <row r="16" spans="1:29" s="1" customFormat="1" ht="45" customHeight="1" thickBot="1">
      <c r="A16" s="23" t="s">
        <v>47</v>
      </c>
      <c r="B16" s="24" t="s">
        <v>48</v>
      </c>
      <c r="C16" s="25" t="s">
        <v>49</v>
      </c>
      <c r="D16" s="26" t="s">
        <v>50</v>
      </c>
      <c r="E16" s="25">
        <v>0</v>
      </c>
      <c r="F16" s="25">
        <v>1</v>
      </c>
      <c r="G16" s="27" t="s">
        <v>51</v>
      </c>
      <c r="H16" s="27" t="s">
        <v>52</v>
      </c>
      <c r="I16" s="50" t="s">
        <v>53</v>
      </c>
      <c r="J16" s="28">
        <v>0</v>
      </c>
      <c r="K16" s="43">
        <v>1</v>
      </c>
      <c r="L16" s="93">
        <v>2020630010007</v>
      </c>
      <c r="M16" s="46" t="s">
        <v>215</v>
      </c>
      <c r="N16" s="73" t="s">
        <v>324</v>
      </c>
      <c r="O16" s="46" t="s">
        <v>325</v>
      </c>
      <c r="P16" s="79">
        <v>0</v>
      </c>
      <c r="Q16" s="48" t="s">
        <v>218</v>
      </c>
      <c r="R16" s="48">
        <v>0</v>
      </c>
      <c r="S16" s="140">
        <v>0</v>
      </c>
      <c r="T16" s="27" t="s">
        <v>52</v>
      </c>
      <c r="U16" s="48" t="s">
        <v>218</v>
      </c>
      <c r="V16" s="48" t="s">
        <v>218</v>
      </c>
      <c r="W16" s="97">
        <v>0</v>
      </c>
      <c r="X16" s="114">
        <v>0</v>
      </c>
      <c r="Y16" s="141">
        <v>0</v>
      </c>
      <c r="Z16" s="48" t="s">
        <v>218</v>
      </c>
      <c r="AA16" s="48" t="s">
        <v>218</v>
      </c>
      <c r="AB16" s="114"/>
      <c r="AC16" s="98" t="s">
        <v>317</v>
      </c>
    </row>
    <row r="17" spans="1:29" s="1" customFormat="1" ht="81" customHeight="1" thickBot="1">
      <c r="A17" s="29" t="s">
        <v>54</v>
      </c>
      <c r="B17" s="24" t="s">
        <v>55</v>
      </c>
      <c r="C17" s="25" t="s">
        <v>56</v>
      </c>
      <c r="D17" s="26" t="s">
        <v>57</v>
      </c>
      <c r="E17" s="25">
        <v>0</v>
      </c>
      <c r="F17" s="30">
        <v>0.02</v>
      </c>
      <c r="G17" s="27" t="s">
        <v>58</v>
      </c>
      <c r="H17" s="27" t="s">
        <v>59</v>
      </c>
      <c r="I17" s="50" t="s">
        <v>59</v>
      </c>
      <c r="J17" s="28">
        <v>0</v>
      </c>
      <c r="K17" s="44">
        <v>0.02</v>
      </c>
      <c r="L17" s="429">
        <v>2020630010006</v>
      </c>
      <c r="M17" s="433" t="s">
        <v>167</v>
      </c>
      <c r="N17" s="433" t="s">
        <v>318</v>
      </c>
      <c r="O17" s="26" t="s">
        <v>219</v>
      </c>
      <c r="P17" s="48">
        <v>0</v>
      </c>
      <c r="Q17" s="80">
        <v>0.02</v>
      </c>
      <c r="R17" s="80">
        <v>0.0024</v>
      </c>
      <c r="S17" s="140">
        <f>R17/Q17</f>
        <v>0.11999999999999998</v>
      </c>
      <c r="T17" s="27" t="s">
        <v>59</v>
      </c>
      <c r="U17" s="47" t="s">
        <v>221</v>
      </c>
      <c r="V17" s="55" t="s">
        <v>222</v>
      </c>
      <c r="W17" s="58">
        <v>1616498198</v>
      </c>
      <c r="X17" s="115">
        <v>0</v>
      </c>
      <c r="Y17" s="141">
        <f t="shared" si="0"/>
        <v>0</v>
      </c>
      <c r="Z17" s="121" t="s">
        <v>370</v>
      </c>
      <c r="AA17" s="121" t="s">
        <v>371</v>
      </c>
      <c r="AB17" s="115" t="s">
        <v>375</v>
      </c>
      <c r="AC17" s="98" t="s">
        <v>317</v>
      </c>
    </row>
    <row r="18" spans="1:29" s="1" customFormat="1" ht="129" customHeight="1" thickBot="1">
      <c r="A18" s="338" t="s">
        <v>54</v>
      </c>
      <c r="B18" s="342" t="s">
        <v>55</v>
      </c>
      <c r="C18" s="342" t="s">
        <v>56</v>
      </c>
      <c r="D18" s="342" t="s">
        <v>57</v>
      </c>
      <c r="E18" s="408">
        <v>1</v>
      </c>
      <c r="F18" s="408">
        <v>1</v>
      </c>
      <c r="G18" s="408" t="s">
        <v>58</v>
      </c>
      <c r="H18" s="408" t="s">
        <v>60</v>
      </c>
      <c r="I18" s="408" t="s">
        <v>60</v>
      </c>
      <c r="J18" s="408">
        <v>1</v>
      </c>
      <c r="K18" s="496">
        <v>1</v>
      </c>
      <c r="L18" s="429"/>
      <c r="M18" s="433"/>
      <c r="N18" s="433"/>
      <c r="O18" s="33" t="s">
        <v>226</v>
      </c>
      <c r="P18" s="77">
        <v>4</v>
      </c>
      <c r="Q18" s="48">
        <v>3</v>
      </c>
      <c r="R18" s="48">
        <v>3</v>
      </c>
      <c r="S18" s="140">
        <v>0.6</v>
      </c>
      <c r="T18" s="309" t="s">
        <v>60</v>
      </c>
      <c r="U18" s="308" t="s">
        <v>220</v>
      </c>
      <c r="V18" s="47" t="s">
        <v>223</v>
      </c>
      <c r="W18" s="81">
        <f>3500000*11+2800000*11+3000000*11</f>
        <v>102300000</v>
      </c>
      <c r="X18" s="116">
        <v>90666660</v>
      </c>
      <c r="Y18" s="141">
        <f t="shared" si="0"/>
        <v>0.8862821114369501</v>
      </c>
      <c r="Z18" s="116" t="s">
        <v>370</v>
      </c>
      <c r="AA18" s="116" t="s">
        <v>371</v>
      </c>
      <c r="AB18" s="116" t="s">
        <v>376</v>
      </c>
      <c r="AC18" s="519" t="s">
        <v>317</v>
      </c>
    </row>
    <row r="19" spans="1:29" s="1" customFormat="1" ht="129" customHeight="1" thickBot="1">
      <c r="A19" s="339"/>
      <c r="B19" s="343"/>
      <c r="C19" s="343"/>
      <c r="D19" s="343"/>
      <c r="E19" s="409"/>
      <c r="F19" s="409"/>
      <c r="G19" s="409"/>
      <c r="H19" s="409"/>
      <c r="I19" s="409"/>
      <c r="J19" s="409"/>
      <c r="K19" s="497"/>
      <c r="L19" s="429"/>
      <c r="M19" s="433"/>
      <c r="N19" s="433"/>
      <c r="O19" s="33" t="s">
        <v>225</v>
      </c>
      <c r="P19" s="77">
        <v>12</v>
      </c>
      <c r="Q19" s="48">
        <v>12</v>
      </c>
      <c r="R19" s="48">
        <v>5</v>
      </c>
      <c r="S19" s="140">
        <f>R19/Q19</f>
        <v>0.4166666666666667</v>
      </c>
      <c r="T19" s="309"/>
      <c r="U19" s="308"/>
      <c r="V19" s="47" t="s">
        <v>223</v>
      </c>
      <c r="W19" s="81">
        <f>530000000*12+724000+315000000</f>
        <v>6675724000</v>
      </c>
      <c r="X19" s="116">
        <v>6162206574.02</v>
      </c>
      <c r="Y19" s="141">
        <f t="shared" si="0"/>
        <v>0.9230768938350358</v>
      </c>
      <c r="Z19" s="116" t="s">
        <v>370</v>
      </c>
      <c r="AA19" s="116" t="s">
        <v>371</v>
      </c>
      <c r="AB19" s="116" t="s">
        <v>377</v>
      </c>
      <c r="AC19" s="519"/>
    </row>
    <row r="20" spans="1:29" s="1" customFormat="1" ht="129" customHeight="1" thickBot="1">
      <c r="A20" s="339"/>
      <c r="B20" s="343"/>
      <c r="C20" s="343"/>
      <c r="D20" s="343"/>
      <c r="E20" s="409"/>
      <c r="F20" s="409"/>
      <c r="G20" s="409"/>
      <c r="H20" s="409"/>
      <c r="I20" s="409"/>
      <c r="J20" s="409"/>
      <c r="K20" s="497"/>
      <c r="L20" s="429"/>
      <c r="M20" s="433"/>
      <c r="N20" s="433"/>
      <c r="O20" s="26" t="s">
        <v>227</v>
      </c>
      <c r="P20" s="77">
        <v>1</v>
      </c>
      <c r="Q20" s="48">
        <v>1</v>
      </c>
      <c r="R20" s="48">
        <v>0.6</v>
      </c>
      <c r="S20" s="140">
        <f>R20/Q20</f>
        <v>0.6</v>
      </c>
      <c r="T20" s="309"/>
      <c r="U20" s="308"/>
      <c r="V20" s="47" t="s">
        <v>223</v>
      </c>
      <c r="W20" s="81">
        <f>(2200000*11)</f>
        <v>24200000</v>
      </c>
      <c r="X20" s="116">
        <v>15400000</v>
      </c>
      <c r="Y20" s="141">
        <f t="shared" si="0"/>
        <v>0.6363636363636364</v>
      </c>
      <c r="Z20" s="116" t="s">
        <v>370</v>
      </c>
      <c r="AA20" s="116" t="s">
        <v>371</v>
      </c>
      <c r="AB20" s="116" t="s">
        <v>378</v>
      </c>
      <c r="AC20" s="519"/>
    </row>
    <row r="21" spans="1:29" s="1" customFormat="1" ht="129" customHeight="1" thickBot="1">
      <c r="A21" s="339"/>
      <c r="B21" s="343"/>
      <c r="C21" s="343"/>
      <c r="D21" s="343"/>
      <c r="E21" s="409"/>
      <c r="F21" s="409"/>
      <c r="G21" s="409"/>
      <c r="H21" s="409"/>
      <c r="I21" s="409"/>
      <c r="J21" s="409"/>
      <c r="K21" s="497"/>
      <c r="L21" s="429"/>
      <c r="M21" s="433"/>
      <c r="N21" s="433"/>
      <c r="O21" s="495" t="s">
        <v>224</v>
      </c>
      <c r="P21" s="493">
        <v>12</v>
      </c>
      <c r="Q21" s="346">
        <v>12</v>
      </c>
      <c r="R21" s="442">
        <v>5</v>
      </c>
      <c r="S21" s="350">
        <v>0.006</v>
      </c>
      <c r="T21" s="309"/>
      <c r="U21" s="308"/>
      <c r="V21" s="47" t="s">
        <v>223</v>
      </c>
      <c r="W21" s="81">
        <f>430000000*12</f>
        <v>5160000000</v>
      </c>
      <c r="X21" s="116">
        <v>3580180257</v>
      </c>
      <c r="Y21" s="141">
        <f t="shared" si="0"/>
        <v>0.6938333831395349</v>
      </c>
      <c r="Z21" s="330" t="s">
        <v>370</v>
      </c>
      <c r="AA21" s="330" t="s">
        <v>371</v>
      </c>
      <c r="AB21" s="330" t="s">
        <v>379</v>
      </c>
      <c r="AC21" s="519"/>
    </row>
    <row r="22" spans="1:29" s="1" customFormat="1" ht="129" customHeight="1" thickBot="1">
      <c r="A22" s="494"/>
      <c r="B22" s="416"/>
      <c r="C22" s="416"/>
      <c r="D22" s="416"/>
      <c r="E22" s="410"/>
      <c r="F22" s="410"/>
      <c r="G22" s="410"/>
      <c r="H22" s="410"/>
      <c r="I22" s="410"/>
      <c r="J22" s="410"/>
      <c r="K22" s="498"/>
      <c r="L22" s="429"/>
      <c r="M22" s="433"/>
      <c r="N22" s="433"/>
      <c r="O22" s="495"/>
      <c r="P22" s="493"/>
      <c r="Q22" s="346"/>
      <c r="R22" s="443"/>
      <c r="S22" s="351"/>
      <c r="T22" s="309"/>
      <c r="U22" s="308"/>
      <c r="V22" s="47" t="s">
        <v>228</v>
      </c>
      <c r="W22" s="81">
        <v>27000000</v>
      </c>
      <c r="X22" s="116">
        <v>0</v>
      </c>
      <c r="Y22" s="141">
        <f t="shared" si="0"/>
        <v>0</v>
      </c>
      <c r="Z22" s="348"/>
      <c r="AA22" s="348"/>
      <c r="AB22" s="348"/>
      <c r="AC22" s="519"/>
    </row>
    <row r="23" spans="1:29" s="1" customFormat="1" ht="138.75" customHeight="1" thickBot="1">
      <c r="A23" s="29" t="s">
        <v>54</v>
      </c>
      <c r="B23" s="24" t="s">
        <v>55</v>
      </c>
      <c r="C23" s="25" t="s">
        <v>56</v>
      </c>
      <c r="D23" s="26" t="s">
        <v>57</v>
      </c>
      <c r="E23" s="25">
        <v>0</v>
      </c>
      <c r="F23" s="31">
        <v>0.0333</v>
      </c>
      <c r="G23" s="27" t="s">
        <v>58</v>
      </c>
      <c r="H23" s="27" t="s">
        <v>61</v>
      </c>
      <c r="I23" s="50" t="s">
        <v>61</v>
      </c>
      <c r="J23" s="28">
        <v>0</v>
      </c>
      <c r="K23" s="44" t="s">
        <v>62</v>
      </c>
      <c r="L23" s="429"/>
      <c r="M23" s="433"/>
      <c r="N23" s="433"/>
      <c r="O23" s="74" t="s">
        <v>341</v>
      </c>
      <c r="P23" s="79">
        <v>0</v>
      </c>
      <c r="Q23" s="48" t="s">
        <v>218</v>
      </c>
      <c r="R23" s="48"/>
      <c r="S23" s="140" t="e">
        <f>R23/Q23</f>
        <v>#VALUE!</v>
      </c>
      <c r="T23" s="27" t="s">
        <v>61</v>
      </c>
      <c r="U23" s="79" t="s">
        <v>218</v>
      </c>
      <c r="V23" s="79" t="s">
        <v>218</v>
      </c>
      <c r="W23" s="64">
        <v>0</v>
      </c>
      <c r="X23" s="113"/>
      <c r="Y23" s="141" t="e">
        <f t="shared" si="0"/>
        <v>#DIV/0!</v>
      </c>
      <c r="Z23" s="113"/>
      <c r="AA23" s="113"/>
      <c r="AB23" s="113"/>
      <c r="AC23" s="99" t="s">
        <v>317</v>
      </c>
    </row>
    <row r="24" spans="1:29" s="1" customFormat="1" ht="105" customHeight="1" thickBot="1">
      <c r="A24" s="29" t="s">
        <v>54</v>
      </c>
      <c r="B24" s="24" t="s">
        <v>63</v>
      </c>
      <c r="C24" s="25" t="s">
        <v>64</v>
      </c>
      <c r="D24" s="26" t="s">
        <v>65</v>
      </c>
      <c r="E24" s="25">
        <v>1</v>
      </c>
      <c r="F24" s="25">
        <v>1</v>
      </c>
      <c r="G24" s="27" t="s">
        <v>66</v>
      </c>
      <c r="H24" s="50" t="s">
        <v>67</v>
      </c>
      <c r="I24" s="50" t="s">
        <v>67</v>
      </c>
      <c r="J24" s="28">
        <v>1</v>
      </c>
      <c r="K24" s="43">
        <v>1</v>
      </c>
      <c r="L24" s="429">
        <v>2020630010109</v>
      </c>
      <c r="M24" s="501" t="s">
        <v>256</v>
      </c>
      <c r="N24" s="509" t="s">
        <v>156</v>
      </c>
      <c r="O24" s="46" t="s">
        <v>342</v>
      </c>
      <c r="P24" s="79">
        <v>0</v>
      </c>
      <c r="Q24" s="48" t="s">
        <v>218</v>
      </c>
      <c r="R24" s="48"/>
      <c r="S24" s="140" t="e">
        <f>R24/Q24</f>
        <v>#VALUE!</v>
      </c>
      <c r="T24" s="27" t="s">
        <v>210</v>
      </c>
      <c r="U24" s="79" t="s">
        <v>218</v>
      </c>
      <c r="V24" s="79" t="s">
        <v>218</v>
      </c>
      <c r="W24" s="64">
        <v>0</v>
      </c>
      <c r="X24" s="113"/>
      <c r="Y24" s="141" t="e">
        <f t="shared" si="0"/>
        <v>#DIV/0!</v>
      </c>
      <c r="Z24" s="113"/>
      <c r="AA24" s="113"/>
      <c r="AB24" s="113"/>
      <c r="AC24" s="158" t="s">
        <v>317</v>
      </c>
    </row>
    <row r="25" spans="1:29" s="1" customFormat="1" ht="171.75" customHeight="1" thickBot="1">
      <c r="A25" s="338" t="s">
        <v>54</v>
      </c>
      <c r="B25" s="342" t="s">
        <v>63</v>
      </c>
      <c r="C25" s="342" t="s">
        <v>64</v>
      </c>
      <c r="D25" s="342" t="s">
        <v>65</v>
      </c>
      <c r="E25" s="411">
        <v>1</v>
      </c>
      <c r="F25" s="411">
        <v>1</v>
      </c>
      <c r="G25" s="411" t="s">
        <v>66</v>
      </c>
      <c r="H25" s="411" t="s">
        <v>68</v>
      </c>
      <c r="I25" s="411" t="s">
        <v>68</v>
      </c>
      <c r="J25" s="411">
        <v>1</v>
      </c>
      <c r="K25" s="490">
        <v>1</v>
      </c>
      <c r="L25" s="429"/>
      <c r="M25" s="501"/>
      <c r="N25" s="509"/>
      <c r="O25" s="26" t="s">
        <v>229</v>
      </c>
      <c r="P25" s="77">
        <v>2</v>
      </c>
      <c r="Q25" s="48">
        <v>5</v>
      </c>
      <c r="R25" s="48">
        <v>5</v>
      </c>
      <c r="S25" s="140">
        <v>0.6</v>
      </c>
      <c r="T25" s="309" t="s">
        <v>211</v>
      </c>
      <c r="U25" s="346" t="s">
        <v>237</v>
      </c>
      <c r="V25" s="472" t="s">
        <v>194</v>
      </c>
      <c r="W25" s="81">
        <v>102873333</v>
      </c>
      <c r="X25" s="116">
        <f>16800000+12000000+19200000+16800000+21000000+8773333</f>
        <v>94573333</v>
      </c>
      <c r="Y25" s="141">
        <f t="shared" si="0"/>
        <v>0.9193182551983613</v>
      </c>
      <c r="Z25" s="116" t="s">
        <v>370</v>
      </c>
      <c r="AA25" s="116" t="s">
        <v>371</v>
      </c>
      <c r="AB25" s="116" t="s">
        <v>380</v>
      </c>
      <c r="AC25" s="519" t="s">
        <v>317</v>
      </c>
    </row>
    <row r="26" spans="1:29" s="1" customFormat="1" ht="165.75" customHeight="1" thickBot="1">
      <c r="A26" s="339"/>
      <c r="B26" s="343"/>
      <c r="C26" s="343"/>
      <c r="D26" s="343"/>
      <c r="E26" s="412"/>
      <c r="F26" s="412"/>
      <c r="G26" s="412"/>
      <c r="H26" s="412"/>
      <c r="I26" s="412"/>
      <c r="J26" s="412"/>
      <c r="K26" s="491"/>
      <c r="L26" s="429"/>
      <c r="M26" s="501"/>
      <c r="N26" s="509"/>
      <c r="O26" s="26" t="s">
        <v>230</v>
      </c>
      <c r="P26" s="77">
        <v>1</v>
      </c>
      <c r="Q26" s="48">
        <v>2</v>
      </c>
      <c r="R26" s="48">
        <v>2</v>
      </c>
      <c r="S26" s="140">
        <v>0.6</v>
      </c>
      <c r="T26" s="309"/>
      <c r="U26" s="346"/>
      <c r="V26" s="472"/>
      <c r="W26" s="81">
        <f>3000000*11</f>
        <v>33000000</v>
      </c>
      <c r="X26" s="81">
        <f>16800000+11200000</f>
        <v>28000000</v>
      </c>
      <c r="Y26" s="141">
        <f t="shared" si="0"/>
        <v>0.8484848484848485</v>
      </c>
      <c r="Z26" s="116" t="s">
        <v>370</v>
      </c>
      <c r="AA26" s="116" t="s">
        <v>371</v>
      </c>
      <c r="AB26" s="116" t="s">
        <v>381</v>
      </c>
      <c r="AC26" s="519"/>
    </row>
    <row r="27" spans="1:29" s="1" customFormat="1" ht="153" customHeight="1" thickBot="1">
      <c r="A27" s="339"/>
      <c r="B27" s="343"/>
      <c r="C27" s="343"/>
      <c r="D27" s="343"/>
      <c r="E27" s="412"/>
      <c r="F27" s="412"/>
      <c r="G27" s="412"/>
      <c r="H27" s="412"/>
      <c r="I27" s="412"/>
      <c r="J27" s="412"/>
      <c r="K27" s="491"/>
      <c r="L27" s="429"/>
      <c r="M27" s="501"/>
      <c r="N27" s="509"/>
      <c r="O27" s="26" t="s">
        <v>231</v>
      </c>
      <c r="P27" s="77">
        <v>1</v>
      </c>
      <c r="Q27" s="48">
        <v>1</v>
      </c>
      <c r="R27" s="48">
        <v>1</v>
      </c>
      <c r="S27" s="140">
        <v>0.6</v>
      </c>
      <c r="T27" s="309"/>
      <c r="U27" s="346"/>
      <c r="V27" s="472"/>
      <c r="W27" s="81">
        <f>1700000*11</f>
        <v>18700000</v>
      </c>
      <c r="X27" s="116">
        <v>16773333</v>
      </c>
      <c r="Y27" s="141">
        <f t="shared" si="0"/>
        <v>0.8969696791443851</v>
      </c>
      <c r="Z27" s="116" t="s">
        <v>370</v>
      </c>
      <c r="AA27" s="116" t="s">
        <v>371</v>
      </c>
      <c r="AB27" s="116" t="s">
        <v>382</v>
      </c>
      <c r="AC27" s="519"/>
    </row>
    <row r="28" spans="1:29" s="1" customFormat="1" ht="85.5" customHeight="1" thickBot="1">
      <c r="A28" s="339"/>
      <c r="B28" s="343"/>
      <c r="C28" s="343"/>
      <c r="D28" s="343"/>
      <c r="E28" s="412"/>
      <c r="F28" s="412"/>
      <c r="G28" s="412"/>
      <c r="H28" s="412"/>
      <c r="I28" s="412"/>
      <c r="J28" s="412"/>
      <c r="K28" s="491"/>
      <c r="L28" s="429"/>
      <c r="M28" s="501"/>
      <c r="N28" s="509"/>
      <c r="O28" s="26" t="s">
        <v>232</v>
      </c>
      <c r="P28" s="77">
        <v>0</v>
      </c>
      <c r="Q28" s="48">
        <v>1</v>
      </c>
      <c r="R28" s="48">
        <v>0</v>
      </c>
      <c r="S28" s="140">
        <f>R28/Q28</f>
        <v>0</v>
      </c>
      <c r="T28" s="309"/>
      <c r="U28" s="346"/>
      <c r="V28" s="472"/>
      <c r="W28" s="81">
        <v>8247565</v>
      </c>
      <c r="X28" s="116">
        <v>0</v>
      </c>
      <c r="Y28" s="141">
        <f t="shared" si="0"/>
        <v>0</v>
      </c>
      <c r="Z28" s="116" t="s">
        <v>370</v>
      </c>
      <c r="AA28" s="116" t="s">
        <v>371</v>
      </c>
      <c r="AB28" s="116" t="s">
        <v>383</v>
      </c>
      <c r="AC28" s="519"/>
    </row>
    <row r="29" spans="1:29" s="1" customFormat="1" ht="85.5" customHeight="1" thickBot="1">
      <c r="A29" s="339"/>
      <c r="B29" s="343"/>
      <c r="C29" s="343"/>
      <c r="D29" s="343"/>
      <c r="E29" s="412"/>
      <c r="F29" s="412"/>
      <c r="G29" s="412"/>
      <c r="H29" s="412"/>
      <c r="I29" s="412"/>
      <c r="J29" s="412"/>
      <c r="K29" s="491"/>
      <c r="L29" s="429"/>
      <c r="M29" s="501"/>
      <c r="N29" s="509"/>
      <c r="O29" s="54" t="s">
        <v>233</v>
      </c>
      <c r="P29" s="77">
        <v>1</v>
      </c>
      <c r="Q29" s="48">
        <v>1</v>
      </c>
      <c r="R29" s="48">
        <v>0</v>
      </c>
      <c r="S29" s="140">
        <f>R29/Q29</f>
        <v>0</v>
      </c>
      <c r="T29" s="309"/>
      <c r="U29" s="346"/>
      <c r="V29" s="472"/>
      <c r="W29" s="60">
        <v>0</v>
      </c>
      <c r="X29" s="117">
        <v>0</v>
      </c>
      <c r="Y29" s="141">
        <v>0</v>
      </c>
      <c r="Z29" s="116" t="s">
        <v>370</v>
      </c>
      <c r="AA29" s="116" t="s">
        <v>371</v>
      </c>
      <c r="AB29" s="159" t="s">
        <v>384</v>
      </c>
      <c r="AC29" s="519"/>
    </row>
    <row r="30" spans="1:29" s="1" customFormat="1" ht="85.5" customHeight="1" thickBot="1">
      <c r="A30" s="339"/>
      <c r="B30" s="343"/>
      <c r="C30" s="343"/>
      <c r="D30" s="343"/>
      <c r="E30" s="412"/>
      <c r="F30" s="412"/>
      <c r="G30" s="412"/>
      <c r="H30" s="412"/>
      <c r="I30" s="412"/>
      <c r="J30" s="412"/>
      <c r="K30" s="491"/>
      <c r="L30" s="429"/>
      <c r="M30" s="501"/>
      <c r="N30" s="509"/>
      <c r="O30" s="54" t="s">
        <v>234</v>
      </c>
      <c r="P30" s="77">
        <v>0</v>
      </c>
      <c r="Q30" s="48">
        <v>1</v>
      </c>
      <c r="R30" s="48">
        <v>1</v>
      </c>
      <c r="S30" s="140">
        <f>R30/Q30</f>
        <v>1</v>
      </c>
      <c r="T30" s="309"/>
      <c r="U30" s="346"/>
      <c r="V30" s="472"/>
      <c r="W30" s="60">
        <v>80000000</v>
      </c>
      <c r="X30" s="117">
        <v>80000000</v>
      </c>
      <c r="Y30" s="141">
        <f t="shared" si="0"/>
        <v>1</v>
      </c>
      <c r="Z30" s="116" t="s">
        <v>370</v>
      </c>
      <c r="AA30" s="116" t="s">
        <v>371</v>
      </c>
      <c r="AB30" s="159" t="s">
        <v>385</v>
      </c>
      <c r="AC30" s="519"/>
    </row>
    <row r="31" spans="1:29" s="1" customFormat="1" ht="85.5" customHeight="1" thickBot="1">
      <c r="A31" s="339"/>
      <c r="B31" s="343"/>
      <c r="C31" s="343"/>
      <c r="D31" s="343"/>
      <c r="E31" s="412"/>
      <c r="F31" s="412"/>
      <c r="G31" s="412"/>
      <c r="H31" s="412"/>
      <c r="I31" s="412"/>
      <c r="J31" s="412"/>
      <c r="K31" s="491"/>
      <c r="L31" s="429"/>
      <c r="M31" s="501"/>
      <c r="N31" s="509"/>
      <c r="O31" s="61" t="s">
        <v>236</v>
      </c>
      <c r="P31" s="77">
        <v>1</v>
      </c>
      <c r="Q31" s="48">
        <v>1</v>
      </c>
      <c r="R31" s="48">
        <v>1</v>
      </c>
      <c r="S31" s="140">
        <f>R31/Q31</f>
        <v>1</v>
      </c>
      <c r="T31" s="309"/>
      <c r="U31" s="346"/>
      <c r="V31" s="472"/>
      <c r="W31" s="60">
        <v>3700000</v>
      </c>
      <c r="X31" s="117">
        <v>3700000</v>
      </c>
      <c r="Y31" s="141">
        <f t="shared" si="0"/>
        <v>1</v>
      </c>
      <c r="Z31" s="116" t="s">
        <v>370</v>
      </c>
      <c r="AA31" s="116" t="s">
        <v>371</v>
      </c>
      <c r="AB31" s="159" t="s">
        <v>386</v>
      </c>
      <c r="AC31" s="519"/>
    </row>
    <row r="32" spans="1:29" s="1" customFormat="1" ht="85.5" customHeight="1" thickBot="1">
      <c r="A32" s="494"/>
      <c r="B32" s="416"/>
      <c r="C32" s="416"/>
      <c r="D32" s="416"/>
      <c r="E32" s="413"/>
      <c r="F32" s="413"/>
      <c r="G32" s="413"/>
      <c r="H32" s="413"/>
      <c r="I32" s="413"/>
      <c r="J32" s="413"/>
      <c r="K32" s="492"/>
      <c r="L32" s="429"/>
      <c r="M32" s="501"/>
      <c r="N32" s="509"/>
      <c r="O32" s="54" t="s">
        <v>235</v>
      </c>
      <c r="P32" s="48">
        <v>0</v>
      </c>
      <c r="Q32" s="48">
        <v>4</v>
      </c>
      <c r="R32" s="48">
        <v>0</v>
      </c>
      <c r="S32" s="140">
        <v>0.5</v>
      </c>
      <c r="T32" s="309"/>
      <c r="U32" s="51" t="s">
        <v>238</v>
      </c>
      <c r="V32" s="47" t="s">
        <v>239</v>
      </c>
      <c r="W32" s="60">
        <v>97000000</v>
      </c>
      <c r="X32" s="117">
        <v>0</v>
      </c>
      <c r="Y32" s="141">
        <f t="shared" si="0"/>
        <v>0</v>
      </c>
      <c r="Z32" s="116" t="s">
        <v>370</v>
      </c>
      <c r="AA32" s="116" t="s">
        <v>371</v>
      </c>
      <c r="AB32" s="159" t="s">
        <v>387</v>
      </c>
      <c r="AC32" s="519"/>
    </row>
    <row r="33" spans="1:31" s="1" customFormat="1" ht="45" customHeight="1" thickBot="1">
      <c r="A33" s="338" t="s">
        <v>54</v>
      </c>
      <c r="B33" s="342" t="s">
        <v>63</v>
      </c>
      <c r="C33" s="342" t="s">
        <v>64</v>
      </c>
      <c r="D33" s="342" t="s">
        <v>65</v>
      </c>
      <c r="E33" s="411">
        <v>0</v>
      </c>
      <c r="F33" s="411">
        <v>1</v>
      </c>
      <c r="G33" s="411" t="s">
        <v>66</v>
      </c>
      <c r="H33" s="411" t="s">
        <v>69</v>
      </c>
      <c r="I33" s="411" t="s">
        <v>70</v>
      </c>
      <c r="J33" s="411">
        <v>0</v>
      </c>
      <c r="K33" s="490">
        <v>1</v>
      </c>
      <c r="L33" s="429"/>
      <c r="M33" s="501"/>
      <c r="N33" s="509"/>
      <c r="O33" s="480" t="s">
        <v>244</v>
      </c>
      <c r="P33" s="346">
        <v>0</v>
      </c>
      <c r="Q33" s="346">
        <v>1</v>
      </c>
      <c r="R33" s="442">
        <v>0.25</v>
      </c>
      <c r="S33" s="350">
        <f>R33/Q33</f>
        <v>0.25</v>
      </c>
      <c r="T33" s="346" t="s">
        <v>79</v>
      </c>
      <c r="U33" s="54" t="s">
        <v>240</v>
      </c>
      <c r="V33" s="54" t="s">
        <v>241</v>
      </c>
      <c r="W33" s="62">
        <v>500000000</v>
      </c>
      <c r="X33" s="118">
        <v>0</v>
      </c>
      <c r="Y33" s="141">
        <f t="shared" si="0"/>
        <v>0</v>
      </c>
      <c r="Z33" s="334" t="s">
        <v>370</v>
      </c>
      <c r="AA33" s="334" t="s">
        <v>371</v>
      </c>
      <c r="AB33" s="334" t="s">
        <v>388</v>
      </c>
      <c r="AC33" s="519" t="s">
        <v>317</v>
      </c>
      <c r="AE33" s="21"/>
    </row>
    <row r="34" spans="1:29" s="1" customFormat="1" ht="45" customHeight="1" thickBot="1">
      <c r="A34" s="494"/>
      <c r="B34" s="416"/>
      <c r="C34" s="416"/>
      <c r="D34" s="416"/>
      <c r="E34" s="413"/>
      <c r="F34" s="413"/>
      <c r="G34" s="413"/>
      <c r="H34" s="413"/>
      <c r="I34" s="413"/>
      <c r="J34" s="413"/>
      <c r="K34" s="492"/>
      <c r="L34" s="429"/>
      <c r="M34" s="501"/>
      <c r="N34" s="509"/>
      <c r="O34" s="480"/>
      <c r="P34" s="346"/>
      <c r="Q34" s="346"/>
      <c r="R34" s="443"/>
      <c r="S34" s="351"/>
      <c r="T34" s="346"/>
      <c r="U34" s="54" t="s">
        <v>242</v>
      </c>
      <c r="V34" s="54" t="s">
        <v>243</v>
      </c>
      <c r="W34" s="62">
        <f>1233717965+19111766501</f>
        <v>20345484466</v>
      </c>
      <c r="X34" s="118">
        <v>0</v>
      </c>
      <c r="Y34" s="141">
        <f t="shared" si="0"/>
        <v>0</v>
      </c>
      <c r="Z34" s="335"/>
      <c r="AA34" s="335"/>
      <c r="AB34" s="335"/>
      <c r="AC34" s="519"/>
    </row>
    <row r="35" spans="1:29" s="1" customFormat="1" ht="45" customHeight="1" thickBot="1">
      <c r="A35" s="338" t="s">
        <v>54</v>
      </c>
      <c r="B35" s="342" t="s">
        <v>63</v>
      </c>
      <c r="C35" s="342" t="s">
        <v>64</v>
      </c>
      <c r="D35" s="342" t="s">
        <v>65</v>
      </c>
      <c r="E35" s="344">
        <v>15500</v>
      </c>
      <c r="F35" s="344" t="s">
        <v>71</v>
      </c>
      <c r="G35" s="344" t="s">
        <v>66</v>
      </c>
      <c r="H35" s="344" t="s">
        <v>72</v>
      </c>
      <c r="I35" s="344" t="s">
        <v>73</v>
      </c>
      <c r="J35" s="344">
        <v>15500</v>
      </c>
      <c r="K35" s="499" t="s">
        <v>71</v>
      </c>
      <c r="L35" s="429"/>
      <c r="M35" s="501"/>
      <c r="N35" s="509"/>
      <c r="O35" s="480" t="s">
        <v>245</v>
      </c>
      <c r="P35" s="346">
        <v>0</v>
      </c>
      <c r="Q35" s="346">
        <v>300</v>
      </c>
      <c r="R35" s="442">
        <v>0.5</v>
      </c>
      <c r="S35" s="350">
        <v>0.5</v>
      </c>
      <c r="T35" s="309" t="s">
        <v>212</v>
      </c>
      <c r="U35" s="47" t="s">
        <v>246</v>
      </c>
      <c r="V35" s="47" t="s">
        <v>194</v>
      </c>
      <c r="W35" s="81">
        <v>33400000</v>
      </c>
      <c r="X35" s="116">
        <v>0</v>
      </c>
      <c r="Y35" s="141">
        <f t="shared" si="0"/>
        <v>0</v>
      </c>
      <c r="Z35" s="330" t="s">
        <v>370</v>
      </c>
      <c r="AA35" s="330" t="s">
        <v>371</v>
      </c>
      <c r="AB35" s="330" t="s">
        <v>389</v>
      </c>
      <c r="AC35" s="304" t="s">
        <v>317</v>
      </c>
    </row>
    <row r="36" spans="1:29" s="1" customFormat="1" ht="45" customHeight="1" thickBot="1">
      <c r="A36" s="339"/>
      <c r="B36" s="343"/>
      <c r="C36" s="343"/>
      <c r="D36" s="343"/>
      <c r="E36" s="345"/>
      <c r="F36" s="345"/>
      <c r="G36" s="345"/>
      <c r="H36" s="345"/>
      <c r="I36" s="345"/>
      <c r="J36" s="345"/>
      <c r="K36" s="500"/>
      <c r="L36" s="429"/>
      <c r="M36" s="501"/>
      <c r="N36" s="509"/>
      <c r="O36" s="480"/>
      <c r="P36" s="346"/>
      <c r="Q36" s="346"/>
      <c r="R36" s="443"/>
      <c r="S36" s="351"/>
      <c r="T36" s="309"/>
      <c r="U36" s="63" t="s">
        <v>247</v>
      </c>
      <c r="V36" s="47" t="s">
        <v>239</v>
      </c>
      <c r="W36" s="82">
        <f>57294590</f>
        <v>57294590</v>
      </c>
      <c r="X36" s="119"/>
      <c r="Y36" s="141">
        <f t="shared" si="0"/>
        <v>0</v>
      </c>
      <c r="Z36" s="306"/>
      <c r="AA36" s="306"/>
      <c r="AB36" s="318"/>
      <c r="AC36" s="331"/>
    </row>
    <row r="37" spans="1:29" s="1" customFormat="1" ht="128.25" customHeight="1" thickBot="1">
      <c r="A37" s="340"/>
      <c r="B37" s="316"/>
      <c r="C37" s="316"/>
      <c r="D37" s="316"/>
      <c r="E37" s="316"/>
      <c r="F37" s="316"/>
      <c r="G37" s="316"/>
      <c r="H37" s="316"/>
      <c r="I37" s="316"/>
      <c r="J37" s="316"/>
      <c r="K37" s="332"/>
      <c r="L37" s="429"/>
      <c r="M37" s="501"/>
      <c r="N37" s="509"/>
      <c r="O37" s="151" t="s">
        <v>390</v>
      </c>
      <c r="P37" s="48">
        <v>0</v>
      </c>
      <c r="Q37" s="48">
        <v>2</v>
      </c>
      <c r="R37" s="160">
        <v>1</v>
      </c>
      <c r="S37" s="144">
        <v>0.5</v>
      </c>
      <c r="T37" s="149" t="s">
        <v>212</v>
      </c>
      <c r="U37" s="161" t="s">
        <v>246</v>
      </c>
      <c r="V37" s="151" t="s">
        <v>194</v>
      </c>
      <c r="W37" s="162">
        <v>15720000</v>
      </c>
      <c r="X37" s="82">
        <f>0</f>
        <v>0</v>
      </c>
      <c r="Y37" s="141">
        <f>X37/W37</f>
        <v>0</v>
      </c>
      <c r="Z37" s="306"/>
      <c r="AA37" s="306"/>
      <c r="AB37" s="164" t="s">
        <v>392</v>
      </c>
      <c r="AC37" s="332"/>
    </row>
    <row r="38" spans="1:29" s="1" customFormat="1" ht="130.5" customHeight="1" thickBot="1">
      <c r="A38" s="341"/>
      <c r="B38" s="317"/>
      <c r="C38" s="317"/>
      <c r="D38" s="317"/>
      <c r="E38" s="317"/>
      <c r="F38" s="317"/>
      <c r="G38" s="317"/>
      <c r="H38" s="317"/>
      <c r="I38" s="317"/>
      <c r="J38" s="317"/>
      <c r="K38" s="333"/>
      <c r="L38" s="429"/>
      <c r="M38" s="501"/>
      <c r="N38" s="509"/>
      <c r="O38" s="151" t="s">
        <v>391</v>
      </c>
      <c r="P38" s="48">
        <v>0</v>
      </c>
      <c r="Q38" s="48">
        <v>1</v>
      </c>
      <c r="R38" s="160">
        <v>1</v>
      </c>
      <c r="S38" s="144">
        <v>0.6</v>
      </c>
      <c r="T38" s="149" t="s">
        <v>212</v>
      </c>
      <c r="U38" s="163" t="s">
        <v>246</v>
      </c>
      <c r="V38" s="151" t="s">
        <v>194</v>
      </c>
      <c r="W38" s="162">
        <v>12880000</v>
      </c>
      <c r="X38" s="82">
        <f>12880000</f>
        <v>12880000</v>
      </c>
      <c r="Y38" s="141">
        <f>X38/W38</f>
        <v>1</v>
      </c>
      <c r="Z38" s="318"/>
      <c r="AA38" s="318"/>
      <c r="AB38" s="164" t="s">
        <v>393</v>
      </c>
      <c r="AC38" s="333"/>
    </row>
    <row r="39" spans="1:29" s="1" customFormat="1" ht="84.75" customHeight="1" thickBot="1">
      <c r="A39" s="338" t="s">
        <v>54</v>
      </c>
      <c r="B39" s="342" t="s">
        <v>63</v>
      </c>
      <c r="C39" s="342" t="s">
        <v>64</v>
      </c>
      <c r="D39" s="342" t="s">
        <v>74</v>
      </c>
      <c r="E39" s="344">
        <v>0</v>
      </c>
      <c r="F39" s="344" t="s">
        <v>75</v>
      </c>
      <c r="G39" s="344" t="s">
        <v>66</v>
      </c>
      <c r="H39" s="344" t="s">
        <v>76</v>
      </c>
      <c r="I39" s="344" t="s">
        <v>77</v>
      </c>
      <c r="J39" s="344">
        <v>0</v>
      </c>
      <c r="K39" s="502" t="s">
        <v>75</v>
      </c>
      <c r="L39" s="429"/>
      <c r="M39" s="501"/>
      <c r="N39" s="509"/>
      <c r="O39" s="47" t="s">
        <v>248</v>
      </c>
      <c r="P39" s="48">
        <v>0</v>
      </c>
      <c r="Q39" s="48">
        <v>1</v>
      </c>
      <c r="R39" s="48">
        <v>1</v>
      </c>
      <c r="S39" s="140">
        <f aca="true" t="shared" si="1" ref="S39:S44">R39/Q39</f>
        <v>1</v>
      </c>
      <c r="T39" s="309" t="s">
        <v>76</v>
      </c>
      <c r="U39" s="495" t="s">
        <v>253</v>
      </c>
      <c r="V39" s="47" t="s">
        <v>194</v>
      </c>
      <c r="W39" s="64">
        <v>5000000</v>
      </c>
      <c r="X39" s="113">
        <v>5000000</v>
      </c>
      <c r="Y39" s="141">
        <f t="shared" si="0"/>
        <v>1</v>
      </c>
      <c r="Z39" s="334" t="s">
        <v>370</v>
      </c>
      <c r="AA39" s="334" t="s">
        <v>371</v>
      </c>
      <c r="AB39" s="165" t="s">
        <v>394</v>
      </c>
      <c r="AC39" s="519" t="s">
        <v>317</v>
      </c>
    </row>
    <row r="40" spans="1:29" s="1" customFormat="1" ht="84.75" customHeight="1" thickBot="1">
      <c r="A40" s="339"/>
      <c r="B40" s="343"/>
      <c r="C40" s="343"/>
      <c r="D40" s="343"/>
      <c r="E40" s="345"/>
      <c r="F40" s="345"/>
      <c r="G40" s="345"/>
      <c r="H40" s="345"/>
      <c r="I40" s="345"/>
      <c r="J40" s="345"/>
      <c r="K40" s="503"/>
      <c r="L40" s="429"/>
      <c r="M40" s="501"/>
      <c r="N40" s="509"/>
      <c r="O40" s="47" t="s">
        <v>249</v>
      </c>
      <c r="P40" s="48">
        <v>0</v>
      </c>
      <c r="Q40" s="48">
        <v>1</v>
      </c>
      <c r="R40" s="48">
        <v>1</v>
      </c>
      <c r="S40" s="140">
        <f t="shared" si="1"/>
        <v>1</v>
      </c>
      <c r="T40" s="309"/>
      <c r="U40" s="495"/>
      <c r="V40" s="47" t="s">
        <v>194</v>
      </c>
      <c r="W40" s="64">
        <v>10000000</v>
      </c>
      <c r="X40" s="113">
        <v>10000000</v>
      </c>
      <c r="Y40" s="141">
        <f t="shared" si="0"/>
        <v>1</v>
      </c>
      <c r="Z40" s="335"/>
      <c r="AA40" s="335"/>
      <c r="AB40" s="165" t="s">
        <v>394</v>
      </c>
      <c r="AC40" s="519"/>
    </row>
    <row r="41" spans="1:29" s="1" customFormat="1" ht="94.5" customHeight="1" thickBot="1">
      <c r="A41" s="339"/>
      <c r="B41" s="343"/>
      <c r="C41" s="343"/>
      <c r="D41" s="343"/>
      <c r="E41" s="345"/>
      <c r="F41" s="345"/>
      <c r="G41" s="345"/>
      <c r="H41" s="345"/>
      <c r="I41" s="345"/>
      <c r="J41" s="345"/>
      <c r="K41" s="503"/>
      <c r="L41" s="429"/>
      <c r="M41" s="501"/>
      <c r="N41" s="509"/>
      <c r="O41" s="47" t="s">
        <v>250</v>
      </c>
      <c r="P41" s="48">
        <v>0</v>
      </c>
      <c r="Q41" s="48">
        <v>500</v>
      </c>
      <c r="R41" s="48">
        <v>100</v>
      </c>
      <c r="S41" s="140">
        <f t="shared" si="1"/>
        <v>0.2</v>
      </c>
      <c r="T41" s="309"/>
      <c r="U41" s="33" t="s">
        <v>254</v>
      </c>
      <c r="V41" s="47" t="s">
        <v>255</v>
      </c>
      <c r="W41" s="64">
        <v>300000000</v>
      </c>
      <c r="X41" s="113">
        <v>300000000</v>
      </c>
      <c r="Y41" s="141">
        <f t="shared" si="0"/>
        <v>1</v>
      </c>
      <c r="Z41" s="113" t="s">
        <v>370</v>
      </c>
      <c r="AA41" s="113" t="s">
        <v>371</v>
      </c>
      <c r="AB41" s="113" t="s">
        <v>394</v>
      </c>
      <c r="AC41" s="519"/>
    </row>
    <row r="42" spans="1:29" s="1" customFormat="1" ht="94.5" customHeight="1" thickBot="1">
      <c r="A42" s="339"/>
      <c r="B42" s="343"/>
      <c r="C42" s="343"/>
      <c r="D42" s="343"/>
      <c r="E42" s="345"/>
      <c r="F42" s="345"/>
      <c r="G42" s="345"/>
      <c r="H42" s="345"/>
      <c r="I42" s="345"/>
      <c r="J42" s="345"/>
      <c r="K42" s="503"/>
      <c r="L42" s="429"/>
      <c r="M42" s="501"/>
      <c r="N42" s="509"/>
      <c r="O42" s="302" t="s">
        <v>395</v>
      </c>
      <c r="P42" s="77">
        <v>0</v>
      </c>
      <c r="Q42" s="48">
        <v>1</v>
      </c>
      <c r="R42" s="48">
        <v>0.5</v>
      </c>
      <c r="S42" s="140">
        <f t="shared" si="1"/>
        <v>0.5</v>
      </c>
      <c r="T42" s="309"/>
      <c r="U42" s="147" t="s">
        <v>268</v>
      </c>
      <c r="V42" s="166" t="s">
        <v>188</v>
      </c>
      <c r="W42" s="167">
        <v>30000000</v>
      </c>
      <c r="X42" s="113">
        <v>0</v>
      </c>
      <c r="Y42" s="141">
        <f t="shared" si="0"/>
        <v>0</v>
      </c>
      <c r="Z42" s="337" t="s">
        <v>370</v>
      </c>
      <c r="AA42" s="337" t="s">
        <v>371</v>
      </c>
      <c r="AB42" s="337" t="s">
        <v>396</v>
      </c>
      <c r="AC42" s="519"/>
    </row>
    <row r="43" spans="1:29" s="1" customFormat="1" ht="94.5" customHeight="1" thickBot="1">
      <c r="A43" s="339"/>
      <c r="B43" s="343"/>
      <c r="C43" s="343"/>
      <c r="D43" s="343"/>
      <c r="E43" s="345"/>
      <c r="F43" s="345"/>
      <c r="G43" s="345"/>
      <c r="H43" s="345"/>
      <c r="I43" s="345"/>
      <c r="J43" s="345"/>
      <c r="K43" s="503"/>
      <c r="L43" s="429"/>
      <c r="M43" s="501"/>
      <c r="N43" s="509"/>
      <c r="O43" s="336"/>
      <c r="P43" s="77">
        <v>0</v>
      </c>
      <c r="Q43" s="48">
        <v>1</v>
      </c>
      <c r="R43" s="48">
        <v>0.5</v>
      </c>
      <c r="S43" s="140">
        <f t="shared" si="1"/>
        <v>0.5</v>
      </c>
      <c r="T43" s="309"/>
      <c r="U43" s="49" t="s">
        <v>254</v>
      </c>
      <c r="V43" s="168" t="s">
        <v>255</v>
      </c>
      <c r="W43" s="167">
        <v>50000000</v>
      </c>
      <c r="X43" s="113">
        <v>0</v>
      </c>
      <c r="Y43" s="141">
        <f t="shared" si="0"/>
        <v>0</v>
      </c>
      <c r="Z43" s="318"/>
      <c r="AA43" s="318"/>
      <c r="AB43" s="301"/>
      <c r="AC43" s="519"/>
    </row>
    <row r="44" spans="1:29" s="1" customFormat="1" ht="84.75" customHeight="1" thickBot="1">
      <c r="A44" s="339"/>
      <c r="B44" s="343"/>
      <c r="C44" s="343"/>
      <c r="D44" s="343"/>
      <c r="E44" s="345"/>
      <c r="F44" s="345"/>
      <c r="G44" s="345"/>
      <c r="H44" s="345"/>
      <c r="I44" s="345"/>
      <c r="J44" s="345"/>
      <c r="K44" s="503"/>
      <c r="L44" s="429"/>
      <c r="M44" s="501"/>
      <c r="N44" s="509"/>
      <c r="O44" s="47" t="s">
        <v>251</v>
      </c>
      <c r="P44" s="48">
        <v>0</v>
      </c>
      <c r="Q44" s="48">
        <v>1</v>
      </c>
      <c r="R44" s="48">
        <v>1</v>
      </c>
      <c r="S44" s="140">
        <f t="shared" si="1"/>
        <v>1</v>
      </c>
      <c r="T44" s="309"/>
      <c r="U44" s="495" t="s">
        <v>253</v>
      </c>
      <c r="V44" s="47" t="s">
        <v>194</v>
      </c>
      <c r="W44" s="64">
        <v>50000000</v>
      </c>
      <c r="X44" s="113">
        <v>50000000</v>
      </c>
      <c r="Y44" s="141">
        <f t="shared" si="0"/>
        <v>1</v>
      </c>
      <c r="Z44" s="113" t="s">
        <v>370</v>
      </c>
      <c r="AA44" s="113" t="s">
        <v>371</v>
      </c>
      <c r="AB44" s="113" t="s">
        <v>394</v>
      </c>
      <c r="AC44" s="519"/>
    </row>
    <row r="45" spans="1:29" s="1" customFormat="1" ht="114" customHeight="1" thickBot="1">
      <c r="A45" s="494"/>
      <c r="B45" s="416"/>
      <c r="C45" s="416"/>
      <c r="D45" s="416"/>
      <c r="E45" s="359"/>
      <c r="F45" s="359"/>
      <c r="G45" s="359"/>
      <c r="H45" s="359"/>
      <c r="I45" s="359"/>
      <c r="J45" s="359"/>
      <c r="K45" s="504"/>
      <c r="L45" s="429"/>
      <c r="M45" s="501"/>
      <c r="N45" s="509"/>
      <c r="O45" s="47" t="s">
        <v>252</v>
      </c>
      <c r="P45" s="77">
        <v>2</v>
      </c>
      <c r="Q45" s="48">
        <v>1</v>
      </c>
      <c r="R45" s="48">
        <v>1</v>
      </c>
      <c r="S45" s="140">
        <v>0.7</v>
      </c>
      <c r="T45" s="309"/>
      <c r="U45" s="495"/>
      <c r="V45" s="47" t="s">
        <v>194</v>
      </c>
      <c r="W45" s="64">
        <f>(2200000*11)-400</f>
        <v>24199600</v>
      </c>
      <c r="X45" s="113">
        <v>21266666</v>
      </c>
      <c r="Y45" s="141">
        <f t="shared" si="0"/>
        <v>0.8788023768987917</v>
      </c>
      <c r="Z45" s="113" t="s">
        <v>370</v>
      </c>
      <c r="AA45" s="113" t="s">
        <v>371</v>
      </c>
      <c r="AB45" s="113" t="s">
        <v>382</v>
      </c>
      <c r="AC45" s="519"/>
    </row>
    <row r="46" spans="1:29" s="1" customFormat="1" ht="208.5" customHeight="1" thickBot="1">
      <c r="A46" s="29" t="s">
        <v>54</v>
      </c>
      <c r="B46" s="24" t="s">
        <v>63</v>
      </c>
      <c r="C46" s="25" t="s">
        <v>64</v>
      </c>
      <c r="D46" s="26" t="s">
        <v>65</v>
      </c>
      <c r="E46" s="25">
        <v>0</v>
      </c>
      <c r="F46" s="25" t="s">
        <v>78</v>
      </c>
      <c r="G46" s="27" t="s">
        <v>66</v>
      </c>
      <c r="H46" s="2" t="s">
        <v>79</v>
      </c>
      <c r="I46" s="50" t="s">
        <v>80</v>
      </c>
      <c r="J46" s="28">
        <v>0</v>
      </c>
      <c r="K46" s="45" t="s">
        <v>78</v>
      </c>
      <c r="L46" s="429"/>
      <c r="M46" s="501"/>
      <c r="N46" s="509"/>
      <c r="O46" s="66" t="s">
        <v>397</v>
      </c>
      <c r="P46" s="48">
        <v>0</v>
      </c>
      <c r="Q46" s="147">
        <v>230</v>
      </c>
      <c r="R46" s="48">
        <v>230</v>
      </c>
      <c r="S46" s="140">
        <f>R46/Q46</f>
        <v>1</v>
      </c>
      <c r="T46" s="27" t="s">
        <v>79</v>
      </c>
      <c r="U46" s="150" t="s">
        <v>279</v>
      </c>
      <c r="V46" s="66" t="s">
        <v>188</v>
      </c>
      <c r="W46" s="97">
        <v>16677003</v>
      </c>
      <c r="X46" s="169">
        <f>W46</f>
        <v>16677003</v>
      </c>
      <c r="Y46" s="141">
        <f t="shared" si="0"/>
        <v>1</v>
      </c>
      <c r="Z46" s="113" t="s">
        <v>370</v>
      </c>
      <c r="AA46" s="113" t="s">
        <v>371</v>
      </c>
      <c r="AB46" s="170" t="s">
        <v>398</v>
      </c>
      <c r="AC46" s="98" t="s">
        <v>317</v>
      </c>
    </row>
    <row r="47" spans="1:29" s="1" customFormat="1" ht="155.25" customHeight="1" thickBot="1">
      <c r="A47" s="338" t="s">
        <v>54</v>
      </c>
      <c r="B47" s="342" t="s">
        <v>63</v>
      </c>
      <c r="C47" s="342" t="s">
        <v>64</v>
      </c>
      <c r="D47" s="342" t="s">
        <v>65</v>
      </c>
      <c r="E47" s="411">
        <v>0</v>
      </c>
      <c r="F47" s="411" t="s">
        <v>81</v>
      </c>
      <c r="G47" s="411" t="s">
        <v>352</v>
      </c>
      <c r="H47" s="411" t="s">
        <v>82</v>
      </c>
      <c r="I47" s="411" t="s">
        <v>82</v>
      </c>
      <c r="J47" s="411">
        <v>0</v>
      </c>
      <c r="K47" s="490" t="s">
        <v>81</v>
      </c>
      <c r="L47" s="429"/>
      <c r="M47" s="501"/>
      <c r="N47" s="509"/>
      <c r="O47" s="66" t="s">
        <v>257</v>
      </c>
      <c r="P47" s="76">
        <v>2</v>
      </c>
      <c r="Q47" s="48">
        <v>3</v>
      </c>
      <c r="R47" s="48">
        <v>3</v>
      </c>
      <c r="S47" s="140">
        <v>0.6</v>
      </c>
      <c r="T47" s="309" t="s">
        <v>82</v>
      </c>
      <c r="U47" s="149" t="s">
        <v>267</v>
      </c>
      <c r="V47" s="150" t="s">
        <v>194</v>
      </c>
      <c r="W47" s="83">
        <v>59400000</v>
      </c>
      <c r="X47" s="169">
        <f>9800000+19200000+15200000+14933333</f>
        <v>59133333</v>
      </c>
      <c r="Y47" s="141">
        <f t="shared" si="0"/>
        <v>0.9955106565656565</v>
      </c>
      <c r="Z47" s="113" t="s">
        <v>370</v>
      </c>
      <c r="AA47" s="113" t="s">
        <v>371</v>
      </c>
      <c r="AB47" s="120" t="s">
        <v>399</v>
      </c>
      <c r="AC47" s="519" t="s">
        <v>317</v>
      </c>
    </row>
    <row r="48" spans="1:29" s="1" customFormat="1" ht="117.75" customHeight="1" thickBot="1">
      <c r="A48" s="339"/>
      <c r="B48" s="343"/>
      <c r="C48" s="343"/>
      <c r="D48" s="343"/>
      <c r="E48" s="412"/>
      <c r="F48" s="412"/>
      <c r="G48" s="412"/>
      <c r="H48" s="412"/>
      <c r="I48" s="412"/>
      <c r="J48" s="412"/>
      <c r="K48" s="491"/>
      <c r="L48" s="429"/>
      <c r="M48" s="501"/>
      <c r="N48" s="509"/>
      <c r="O48" s="66" t="s">
        <v>258</v>
      </c>
      <c r="P48" s="76">
        <v>1</v>
      </c>
      <c r="Q48" s="48">
        <v>1</v>
      </c>
      <c r="R48" s="48">
        <v>1</v>
      </c>
      <c r="S48" s="140">
        <v>0.6</v>
      </c>
      <c r="T48" s="309"/>
      <c r="U48" s="72" t="s">
        <v>267</v>
      </c>
      <c r="V48" s="66" t="s">
        <v>194</v>
      </c>
      <c r="W48" s="97">
        <f>42133333-91</f>
        <v>42133242</v>
      </c>
      <c r="X48" s="169">
        <f>21000000+4800000+11200000+770000</f>
        <v>37770000</v>
      </c>
      <c r="Y48" s="141">
        <f t="shared" si="0"/>
        <v>0.896441816653938</v>
      </c>
      <c r="Z48" s="113" t="s">
        <v>370</v>
      </c>
      <c r="AA48" s="113" t="s">
        <v>371</v>
      </c>
      <c r="AB48" s="120" t="s">
        <v>399</v>
      </c>
      <c r="AC48" s="519"/>
    </row>
    <row r="49" spans="1:29" s="1" customFormat="1" ht="102.75" customHeight="1" thickBot="1">
      <c r="A49" s="339"/>
      <c r="B49" s="343"/>
      <c r="C49" s="343"/>
      <c r="D49" s="343"/>
      <c r="E49" s="412"/>
      <c r="F49" s="412"/>
      <c r="G49" s="412"/>
      <c r="H49" s="412"/>
      <c r="I49" s="412"/>
      <c r="J49" s="412"/>
      <c r="K49" s="491"/>
      <c r="L49" s="429"/>
      <c r="M49" s="501"/>
      <c r="N49" s="509"/>
      <c r="O49" s="150" t="s">
        <v>259</v>
      </c>
      <c r="P49" s="76">
        <v>0</v>
      </c>
      <c r="Q49" s="48">
        <v>20</v>
      </c>
      <c r="R49" s="48">
        <v>20</v>
      </c>
      <c r="S49" s="140">
        <v>0.6</v>
      </c>
      <c r="T49" s="309"/>
      <c r="U49" s="72" t="s">
        <v>268</v>
      </c>
      <c r="V49" s="66" t="s">
        <v>188</v>
      </c>
      <c r="W49" s="83">
        <f>233156666.43-0.13</f>
        <v>233156666.3</v>
      </c>
      <c r="X49" s="171">
        <f>19200000+10200000+14933333.33+17066666.7+9066666.7+6800000+6800000+12600000+6800000+6800000+12800000+6800000+6800000+6800000+9000000+5950000+10500000+39270000-9023062</f>
        <v>199163604.73000002</v>
      </c>
      <c r="Y49" s="141">
        <f t="shared" si="0"/>
        <v>0.8542050625897116</v>
      </c>
      <c r="Z49" s="113" t="s">
        <v>370</v>
      </c>
      <c r="AA49" s="113" t="s">
        <v>371</v>
      </c>
      <c r="AB49" s="120" t="s">
        <v>400</v>
      </c>
      <c r="AC49" s="519"/>
    </row>
    <row r="50" spans="1:29" s="1" customFormat="1" ht="102.75" customHeight="1" thickBot="1">
      <c r="A50" s="339"/>
      <c r="B50" s="343"/>
      <c r="C50" s="343"/>
      <c r="D50" s="343"/>
      <c r="E50" s="412"/>
      <c r="F50" s="412"/>
      <c r="G50" s="412"/>
      <c r="H50" s="412"/>
      <c r="I50" s="412"/>
      <c r="J50" s="412"/>
      <c r="K50" s="491"/>
      <c r="L50" s="429"/>
      <c r="M50" s="501"/>
      <c r="N50" s="509"/>
      <c r="O50" s="150" t="s">
        <v>401</v>
      </c>
      <c r="P50" s="172">
        <v>0</v>
      </c>
      <c r="Q50" s="145">
        <v>2</v>
      </c>
      <c r="R50" s="48">
        <v>0.5</v>
      </c>
      <c r="S50" s="143">
        <f>R50/Q50</f>
        <v>0.25</v>
      </c>
      <c r="T50" s="309"/>
      <c r="U50" s="72" t="s">
        <v>268</v>
      </c>
      <c r="V50" s="66" t="s">
        <v>188</v>
      </c>
      <c r="W50" s="83">
        <v>59000000</v>
      </c>
      <c r="X50" s="171">
        <v>0</v>
      </c>
      <c r="Y50" s="141"/>
      <c r="Z50" s="121" t="s">
        <v>370</v>
      </c>
      <c r="AA50" s="121" t="s">
        <v>371</v>
      </c>
      <c r="AB50" s="120" t="s">
        <v>402</v>
      </c>
      <c r="AC50" s="519"/>
    </row>
    <row r="51" spans="1:29" s="1" customFormat="1" ht="45" customHeight="1" thickBot="1">
      <c r="A51" s="339"/>
      <c r="B51" s="343"/>
      <c r="C51" s="343"/>
      <c r="D51" s="343"/>
      <c r="E51" s="412"/>
      <c r="F51" s="412"/>
      <c r="G51" s="412"/>
      <c r="H51" s="412"/>
      <c r="I51" s="412"/>
      <c r="J51" s="412"/>
      <c r="K51" s="491"/>
      <c r="L51" s="429"/>
      <c r="M51" s="501"/>
      <c r="N51" s="509"/>
      <c r="O51" s="435" t="s">
        <v>260</v>
      </c>
      <c r="P51" s="346" t="s">
        <v>345</v>
      </c>
      <c r="Q51" s="346">
        <v>450</v>
      </c>
      <c r="R51" s="442"/>
      <c r="S51" s="350">
        <f>R51/Q51</f>
        <v>0</v>
      </c>
      <c r="T51" s="309"/>
      <c r="U51" s="149" t="s">
        <v>269</v>
      </c>
      <c r="V51" s="150" t="s">
        <v>270</v>
      </c>
      <c r="W51" s="83">
        <v>586933</v>
      </c>
      <c r="X51" s="88">
        <v>0</v>
      </c>
      <c r="Y51" s="141">
        <f t="shared" si="0"/>
        <v>0</v>
      </c>
      <c r="Z51" s="325" t="s">
        <v>370</v>
      </c>
      <c r="AA51" s="325" t="s">
        <v>371</v>
      </c>
      <c r="AB51" s="325" t="s">
        <v>404</v>
      </c>
      <c r="AC51" s="519"/>
    </row>
    <row r="52" spans="1:29" s="1" customFormat="1" ht="45" customHeight="1" thickBot="1">
      <c r="A52" s="339"/>
      <c r="B52" s="343"/>
      <c r="C52" s="343"/>
      <c r="D52" s="343"/>
      <c r="E52" s="412"/>
      <c r="F52" s="412"/>
      <c r="G52" s="412"/>
      <c r="H52" s="412"/>
      <c r="I52" s="412"/>
      <c r="J52" s="412"/>
      <c r="K52" s="491"/>
      <c r="L52" s="429"/>
      <c r="M52" s="501"/>
      <c r="N52" s="509"/>
      <c r="O52" s="435"/>
      <c r="P52" s="346"/>
      <c r="Q52" s="346"/>
      <c r="R52" s="485"/>
      <c r="S52" s="384"/>
      <c r="T52" s="309"/>
      <c r="U52" s="149" t="s">
        <v>271</v>
      </c>
      <c r="V52" s="150" t="s">
        <v>272</v>
      </c>
      <c r="W52" s="83">
        <v>41633132</v>
      </c>
      <c r="X52" s="88">
        <v>0</v>
      </c>
      <c r="Y52" s="141"/>
      <c r="Z52" s="326"/>
      <c r="AA52" s="326"/>
      <c r="AB52" s="326"/>
      <c r="AC52" s="519"/>
    </row>
    <row r="53" spans="1:29" s="1" customFormat="1" ht="45" customHeight="1" thickBot="1">
      <c r="A53" s="339"/>
      <c r="B53" s="343"/>
      <c r="C53" s="343"/>
      <c r="D53" s="343"/>
      <c r="E53" s="412"/>
      <c r="F53" s="412"/>
      <c r="G53" s="412"/>
      <c r="H53" s="412"/>
      <c r="I53" s="412"/>
      <c r="J53" s="412"/>
      <c r="K53" s="491"/>
      <c r="L53" s="429"/>
      <c r="M53" s="501"/>
      <c r="N53" s="509"/>
      <c r="O53" s="480"/>
      <c r="P53" s="493"/>
      <c r="Q53" s="346"/>
      <c r="R53" s="485"/>
      <c r="S53" s="384"/>
      <c r="T53" s="309"/>
      <c r="U53" s="149" t="s">
        <v>273</v>
      </c>
      <c r="V53" s="150" t="s">
        <v>239</v>
      </c>
      <c r="W53" s="83">
        <f>537917032+170000000</f>
        <v>707917032</v>
      </c>
      <c r="X53" s="88">
        <v>0</v>
      </c>
      <c r="Y53" s="141">
        <f t="shared" si="0"/>
        <v>0</v>
      </c>
      <c r="Z53" s="326"/>
      <c r="AA53" s="326"/>
      <c r="AB53" s="326"/>
      <c r="AC53" s="519"/>
    </row>
    <row r="54" spans="1:29" s="1" customFormat="1" ht="45" customHeight="1" thickBot="1">
      <c r="A54" s="339"/>
      <c r="B54" s="343"/>
      <c r="C54" s="343"/>
      <c r="D54" s="343"/>
      <c r="E54" s="412"/>
      <c r="F54" s="412"/>
      <c r="G54" s="412"/>
      <c r="H54" s="412"/>
      <c r="I54" s="412"/>
      <c r="J54" s="412"/>
      <c r="K54" s="491"/>
      <c r="L54" s="429"/>
      <c r="M54" s="501"/>
      <c r="N54" s="509"/>
      <c r="O54" s="480"/>
      <c r="P54" s="493"/>
      <c r="Q54" s="346"/>
      <c r="R54" s="485"/>
      <c r="S54" s="384"/>
      <c r="T54" s="309"/>
      <c r="U54" s="149" t="s">
        <v>274</v>
      </c>
      <c r="V54" s="150" t="s">
        <v>255</v>
      </c>
      <c r="W54" s="83">
        <f>362862940-350000000</f>
        <v>12862940</v>
      </c>
      <c r="X54" s="88">
        <v>0</v>
      </c>
      <c r="Y54" s="141">
        <f t="shared" si="0"/>
        <v>0</v>
      </c>
      <c r="Z54" s="326"/>
      <c r="AA54" s="326"/>
      <c r="AB54" s="326"/>
      <c r="AC54" s="519"/>
    </row>
    <row r="55" spans="1:29" s="1" customFormat="1" ht="45" customHeight="1" thickBot="1">
      <c r="A55" s="339"/>
      <c r="B55" s="343"/>
      <c r="C55" s="343"/>
      <c r="D55" s="343"/>
      <c r="E55" s="412"/>
      <c r="F55" s="412"/>
      <c r="G55" s="412"/>
      <c r="H55" s="412"/>
      <c r="I55" s="412"/>
      <c r="J55" s="412"/>
      <c r="K55" s="491"/>
      <c r="L55" s="429"/>
      <c r="M55" s="501"/>
      <c r="N55" s="509"/>
      <c r="O55" s="480"/>
      <c r="P55" s="493"/>
      <c r="Q55" s="346"/>
      <c r="R55" s="485"/>
      <c r="S55" s="384"/>
      <c r="T55" s="309"/>
      <c r="U55" s="149" t="s">
        <v>275</v>
      </c>
      <c r="V55" s="150" t="s">
        <v>191</v>
      </c>
      <c r="W55" s="83">
        <v>555083427</v>
      </c>
      <c r="X55" s="173">
        <v>173833368</v>
      </c>
      <c r="Y55" s="141">
        <f t="shared" si="0"/>
        <v>0.3131662008709188</v>
      </c>
      <c r="Z55" s="326"/>
      <c r="AA55" s="326"/>
      <c r="AB55" s="326"/>
      <c r="AC55" s="519"/>
    </row>
    <row r="56" spans="1:29" s="1" customFormat="1" ht="45" customHeight="1" thickBot="1">
      <c r="A56" s="339"/>
      <c r="B56" s="343"/>
      <c r="C56" s="343"/>
      <c r="D56" s="343"/>
      <c r="E56" s="412"/>
      <c r="F56" s="412"/>
      <c r="G56" s="412"/>
      <c r="H56" s="412"/>
      <c r="I56" s="412"/>
      <c r="J56" s="412"/>
      <c r="K56" s="491"/>
      <c r="L56" s="429"/>
      <c r="M56" s="501"/>
      <c r="N56" s="509"/>
      <c r="O56" s="480"/>
      <c r="P56" s="493"/>
      <c r="Q56" s="346"/>
      <c r="R56" s="485"/>
      <c r="S56" s="384"/>
      <c r="T56" s="309"/>
      <c r="U56" s="26" t="s">
        <v>267</v>
      </c>
      <c r="V56" s="26" t="s">
        <v>194</v>
      </c>
      <c r="W56" s="83">
        <v>540740741</v>
      </c>
      <c r="X56" s="174">
        <v>540740741</v>
      </c>
      <c r="Y56" s="141">
        <f t="shared" si="0"/>
        <v>1</v>
      </c>
      <c r="Z56" s="326"/>
      <c r="AA56" s="326"/>
      <c r="AB56" s="326"/>
      <c r="AC56" s="519"/>
    </row>
    <row r="57" spans="1:29" s="1" customFormat="1" ht="45" customHeight="1" thickBot="1">
      <c r="A57" s="339"/>
      <c r="B57" s="343"/>
      <c r="C57" s="343"/>
      <c r="D57" s="343"/>
      <c r="E57" s="412"/>
      <c r="F57" s="412"/>
      <c r="G57" s="412"/>
      <c r="H57" s="412"/>
      <c r="I57" s="412"/>
      <c r="J57" s="412"/>
      <c r="K57" s="491"/>
      <c r="L57" s="429"/>
      <c r="M57" s="501"/>
      <c r="N57" s="509"/>
      <c r="O57" s="480"/>
      <c r="P57" s="493"/>
      <c r="Q57" s="346"/>
      <c r="R57" s="485"/>
      <c r="S57" s="384"/>
      <c r="T57" s="309"/>
      <c r="U57" s="72" t="s">
        <v>276</v>
      </c>
      <c r="V57" s="66" t="s">
        <v>277</v>
      </c>
      <c r="W57" s="97">
        <v>35533643</v>
      </c>
      <c r="X57" s="174">
        <v>9482404</v>
      </c>
      <c r="Y57" s="141">
        <f t="shared" si="0"/>
        <v>0.2668570740129291</v>
      </c>
      <c r="Z57" s="326"/>
      <c r="AA57" s="326"/>
      <c r="AB57" s="326"/>
      <c r="AC57" s="519"/>
    </row>
    <row r="58" spans="1:29" s="1" customFormat="1" ht="45" customHeight="1" thickBot="1">
      <c r="A58" s="339"/>
      <c r="B58" s="343"/>
      <c r="C58" s="343"/>
      <c r="D58" s="343"/>
      <c r="E58" s="412"/>
      <c r="F58" s="412"/>
      <c r="G58" s="412"/>
      <c r="H58" s="412"/>
      <c r="I58" s="412"/>
      <c r="J58" s="412"/>
      <c r="K58" s="491"/>
      <c r="L58" s="429"/>
      <c r="M58" s="501"/>
      <c r="N58" s="509"/>
      <c r="O58" s="480"/>
      <c r="P58" s="493"/>
      <c r="Q58" s="346"/>
      <c r="R58" s="485"/>
      <c r="S58" s="384"/>
      <c r="T58" s="309"/>
      <c r="U58" s="175" t="s">
        <v>278</v>
      </c>
      <c r="V58" s="66" t="s">
        <v>239</v>
      </c>
      <c r="W58" s="97">
        <v>210356977</v>
      </c>
      <c r="X58" s="176">
        <v>210356977</v>
      </c>
      <c r="Y58" s="141">
        <f t="shared" si="0"/>
        <v>1</v>
      </c>
      <c r="Z58" s="326"/>
      <c r="AA58" s="326"/>
      <c r="AB58" s="326"/>
      <c r="AC58" s="519"/>
    </row>
    <row r="59" spans="1:29" s="1" customFormat="1" ht="45" customHeight="1" thickBot="1">
      <c r="A59" s="339"/>
      <c r="B59" s="343"/>
      <c r="C59" s="343"/>
      <c r="D59" s="343"/>
      <c r="E59" s="412"/>
      <c r="F59" s="412"/>
      <c r="G59" s="412"/>
      <c r="H59" s="412"/>
      <c r="I59" s="412"/>
      <c r="J59" s="412"/>
      <c r="K59" s="491"/>
      <c r="L59" s="429"/>
      <c r="M59" s="501"/>
      <c r="N59" s="509"/>
      <c r="O59" s="480"/>
      <c r="P59" s="493"/>
      <c r="Q59" s="346"/>
      <c r="R59" s="485"/>
      <c r="S59" s="384"/>
      <c r="T59" s="309"/>
      <c r="U59" s="175" t="s">
        <v>279</v>
      </c>
      <c r="V59" s="66" t="s">
        <v>188</v>
      </c>
      <c r="W59" s="177">
        <v>219824298</v>
      </c>
      <c r="X59" s="171">
        <v>219824298</v>
      </c>
      <c r="Y59" s="141">
        <f t="shared" si="0"/>
        <v>1</v>
      </c>
      <c r="Z59" s="326"/>
      <c r="AA59" s="326"/>
      <c r="AB59" s="326"/>
      <c r="AC59" s="519"/>
    </row>
    <row r="60" spans="1:29" s="1" customFormat="1" ht="45" customHeight="1" thickBot="1">
      <c r="A60" s="339"/>
      <c r="B60" s="343"/>
      <c r="C60" s="343"/>
      <c r="D60" s="343"/>
      <c r="E60" s="412"/>
      <c r="F60" s="412"/>
      <c r="G60" s="412"/>
      <c r="H60" s="412"/>
      <c r="I60" s="412"/>
      <c r="J60" s="412"/>
      <c r="K60" s="491"/>
      <c r="L60" s="429"/>
      <c r="M60" s="501"/>
      <c r="N60" s="509"/>
      <c r="O60" s="480"/>
      <c r="P60" s="493"/>
      <c r="Q60" s="346"/>
      <c r="R60" s="485"/>
      <c r="S60" s="384"/>
      <c r="T60" s="309"/>
      <c r="U60" s="178" t="s">
        <v>254</v>
      </c>
      <c r="V60" s="66" t="s">
        <v>255</v>
      </c>
      <c r="W60" s="177">
        <v>99801408</v>
      </c>
      <c r="X60" s="174">
        <v>99801408</v>
      </c>
      <c r="Y60" s="141">
        <f t="shared" si="0"/>
        <v>1</v>
      </c>
      <c r="Z60" s="326"/>
      <c r="AA60" s="326"/>
      <c r="AB60" s="326"/>
      <c r="AC60" s="519"/>
    </row>
    <row r="61" spans="1:29" s="1" customFormat="1" ht="79.5" customHeight="1" thickBot="1">
      <c r="A61" s="339"/>
      <c r="B61" s="343"/>
      <c r="C61" s="343"/>
      <c r="D61" s="343"/>
      <c r="E61" s="412"/>
      <c r="F61" s="412"/>
      <c r="G61" s="412"/>
      <c r="H61" s="412"/>
      <c r="I61" s="412"/>
      <c r="J61" s="412"/>
      <c r="K61" s="491"/>
      <c r="L61" s="429"/>
      <c r="M61" s="501"/>
      <c r="N61" s="509"/>
      <c r="O61" s="66" t="s">
        <v>403</v>
      </c>
      <c r="P61" s="152">
        <v>0</v>
      </c>
      <c r="Q61" s="146">
        <v>1</v>
      </c>
      <c r="R61" s="48">
        <v>0.25</v>
      </c>
      <c r="S61" s="144">
        <f>R61/Q61</f>
        <v>0.25</v>
      </c>
      <c r="T61" s="309"/>
      <c r="U61" s="179" t="s">
        <v>278</v>
      </c>
      <c r="V61" s="180" t="s">
        <v>239</v>
      </c>
      <c r="W61" s="181">
        <v>450000000</v>
      </c>
      <c r="X61" s="174">
        <v>0</v>
      </c>
      <c r="Y61" s="141">
        <v>0</v>
      </c>
      <c r="Z61" s="182" t="s">
        <v>370</v>
      </c>
      <c r="AA61" s="182" t="s">
        <v>371</v>
      </c>
      <c r="AB61" s="183" t="s">
        <v>405</v>
      </c>
      <c r="AC61" s="519"/>
    </row>
    <row r="62" spans="1:29" s="1" customFormat="1" ht="148.5" customHeight="1" thickBot="1">
      <c r="A62" s="339"/>
      <c r="B62" s="343"/>
      <c r="C62" s="343"/>
      <c r="D62" s="343"/>
      <c r="E62" s="412"/>
      <c r="F62" s="412"/>
      <c r="G62" s="412"/>
      <c r="H62" s="412"/>
      <c r="I62" s="412"/>
      <c r="J62" s="412"/>
      <c r="K62" s="491"/>
      <c r="L62" s="429"/>
      <c r="M62" s="501"/>
      <c r="N62" s="509"/>
      <c r="O62" s="47" t="s">
        <v>261</v>
      </c>
      <c r="P62" s="77">
        <v>0</v>
      </c>
      <c r="Q62" s="48">
        <v>1</v>
      </c>
      <c r="R62" s="48">
        <v>0.5</v>
      </c>
      <c r="S62" s="140">
        <f>R62/Q62</f>
        <v>0.5</v>
      </c>
      <c r="T62" s="309"/>
      <c r="U62" s="51" t="s">
        <v>268</v>
      </c>
      <c r="V62" s="47" t="s">
        <v>188</v>
      </c>
      <c r="W62" s="184">
        <v>9000000</v>
      </c>
      <c r="X62" s="182">
        <v>9000000</v>
      </c>
      <c r="Y62" s="141">
        <f t="shared" si="0"/>
        <v>1</v>
      </c>
      <c r="Z62" s="185" t="s">
        <v>370</v>
      </c>
      <c r="AA62" s="182" t="s">
        <v>371</v>
      </c>
      <c r="AB62" s="185" t="s">
        <v>394</v>
      </c>
      <c r="AC62" s="519"/>
    </row>
    <row r="63" spans="1:29" s="1" customFormat="1" ht="148.5" customHeight="1" thickBot="1">
      <c r="A63" s="339"/>
      <c r="B63" s="343"/>
      <c r="C63" s="343"/>
      <c r="D63" s="343"/>
      <c r="E63" s="412"/>
      <c r="F63" s="412"/>
      <c r="G63" s="412"/>
      <c r="H63" s="412"/>
      <c r="I63" s="412"/>
      <c r="J63" s="412"/>
      <c r="K63" s="491"/>
      <c r="L63" s="429"/>
      <c r="M63" s="501"/>
      <c r="N63" s="509"/>
      <c r="O63" s="47" t="s">
        <v>262</v>
      </c>
      <c r="P63" s="48">
        <v>0</v>
      </c>
      <c r="Q63" s="48">
        <v>1</v>
      </c>
      <c r="R63" s="48">
        <v>0.5</v>
      </c>
      <c r="S63" s="140">
        <f>R63/Q63</f>
        <v>0.5</v>
      </c>
      <c r="T63" s="309"/>
      <c r="U63" s="54" t="s">
        <v>267</v>
      </c>
      <c r="V63" s="54" t="s">
        <v>194</v>
      </c>
      <c r="W63" s="85">
        <v>58000000</v>
      </c>
      <c r="X63" s="122">
        <v>0</v>
      </c>
      <c r="Y63" s="141">
        <f t="shared" si="0"/>
        <v>0</v>
      </c>
      <c r="Z63" s="186" t="s">
        <v>370</v>
      </c>
      <c r="AA63" s="182" t="s">
        <v>371</v>
      </c>
      <c r="AB63" s="183" t="s">
        <v>406</v>
      </c>
      <c r="AC63" s="519"/>
    </row>
    <row r="64" spans="1:29" s="1" customFormat="1" ht="148.5" customHeight="1" thickBot="1">
      <c r="A64" s="339"/>
      <c r="B64" s="343"/>
      <c r="C64" s="343"/>
      <c r="D64" s="343"/>
      <c r="E64" s="412"/>
      <c r="F64" s="412"/>
      <c r="G64" s="412"/>
      <c r="H64" s="412"/>
      <c r="I64" s="412"/>
      <c r="J64" s="412"/>
      <c r="K64" s="491"/>
      <c r="L64" s="429"/>
      <c r="M64" s="501"/>
      <c r="N64" s="509"/>
      <c r="O64" s="187" t="s">
        <v>263</v>
      </c>
      <c r="P64" s="48">
        <v>0</v>
      </c>
      <c r="Q64" s="48">
        <v>2</v>
      </c>
      <c r="R64" s="48">
        <v>2</v>
      </c>
      <c r="S64" s="140">
        <f>R64/Q64</f>
        <v>1</v>
      </c>
      <c r="T64" s="309"/>
      <c r="U64" s="178" t="s">
        <v>267</v>
      </c>
      <c r="V64" s="66" t="s">
        <v>194</v>
      </c>
      <c r="W64" s="83">
        <v>77953145</v>
      </c>
      <c r="X64" s="83">
        <f>42457349+35495796</f>
        <v>77953145</v>
      </c>
      <c r="Y64" s="141">
        <f t="shared" si="0"/>
        <v>1</v>
      </c>
      <c r="Z64" s="186" t="s">
        <v>370</v>
      </c>
      <c r="AA64" s="182" t="s">
        <v>371</v>
      </c>
      <c r="AB64" s="121" t="s">
        <v>407</v>
      </c>
      <c r="AC64" s="519"/>
    </row>
    <row r="65" spans="1:29" s="1" customFormat="1" ht="148.5" customHeight="1" thickBot="1">
      <c r="A65" s="339"/>
      <c r="B65" s="343"/>
      <c r="C65" s="343"/>
      <c r="D65" s="343"/>
      <c r="E65" s="412"/>
      <c r="F65" s="412"/>
      <c r="G65" s="412"/>
      <c r="H65" s="412"/>
      <c r="I65" s="412"/>
      <c r="J65" s="412"/>
      <c r="K65" s="491"/>
      <c r="L65" s="429"/>
      <c r="M65" s="501"/>
      <c r="N65" s="509"/>
      <c r="O65" s="188" t="s">
        <v>408</v>
      </c>
      <c r="P65" s="48">
        <v>4</v>
      </c>
      <c r="Q65" s="48">
        <v>4</v>
      </c>
      <c r="R65" s="48">
        <v>4</v>
      </c>
      <c r="S65" s="140">
        <v>0.6</v>
      </c>
      <c r="T65" s="309"/>
      <c r="U65" s="72" t="s">
        <v>267</v>
      </c>
      <c r="V65" s="66" t="s">
        <v>194</v>
      </c>
      <c r="W65" s="83">
        <f>62520739-4387153-898274</f>
        <v>57235312</v>
      </c>
      <c r="X65" s="169">
        <f>10200000+10200000+13200000+10200000+6233333</f>
        <v>50033333</v>
      </c>
      <c r="Y65" s="141">
        <f t="shared" si="0"/>
        <v>0.8741689570941799</v>
      </c>
      <c r="Z65" s="186" t="s">
        <v>370</v>
      </c>
      <c r="AA65" s="182" t="s">
        <v>371</v>
      </c>
      <c r="AB65" s="120" t="s">
        <v>399</v>
      </c>
      <c r="AC65" s="519"/>
    </row>
    <row r="66" spans="1:29" s="1" customFormat="1" ht="148.5" customHeight="1" thickBot="1">
      <c r="A66" s="339"/>
      <c r="B66" s="343"/>
      <c r="C66" s="343"/>
      <c r="D66" s="343"/>
      <c r="E66" s="412"/>
      <c r="F66" s="412"/>
      <c r="G66" s="412"/>
      <c r="H66" s="412"/>
      <c r="I66" s="412"/>
      <c r="J66" s="412"/>
      <c r="K66" s="491"/>
      <c r="L66" s="429"/>
      <c r="M66" s="501"/>
      <c r="N66" s="509"/>
      <c r="O66" s="59" t="s">
        <v>264</v>
      </c>
      <c r="P66" s="48">
        <v>1</v>
      </c>
      <c r="Q66" s="48">
        <v>1</v>
      </c>
      <c r="R66" s="48">
        <v>1</v>
      </c>
      <c r="S66" s="140">
        <f aca="true" t="shared" si="2" ref="S66:S72">R66/Q66</f>
        <v>1</v>
      </c>
      <c r="T66" s="309"/>
      <c r="U66" s="72" t="s">
        <v>267</v>
      </c>
      <c r="V66" s="66" t="s">
        <v>194</v>
      </c>
      <c r="W66" s="97">
        <v>10000000</v>
      </c>
      <c r="X66" s="169">
        <v>10000000</v>
      </c>
      <c r="Y66" s="141">
        <f t="shared" si="0"/>
        <v>1</v>
      </c>
      <c r="Z66" s="186" t="s">
        <v>370</v>
      </c>
      <c r="AA66" s="182" t="s">
        <v>371</v>
      </c>
      <c r="AB66" s="121" t="s">
        <v>394</v>
      </c>
      <c r="AC66" s="519"/>
    </row>
    <row r="67" spans="1:29" s="1" customFormat="1" ht="148.5" customHeight="1" thickBot="1">
      <c r="A67" s="339"/>
      <c r="B67" s="343"/>
      <c r="C67" s="343"/>
      <c r="D67" s="343"/>
      <c r="E67" s="412"/>
      <c r="F67" s="412"/>
      <c r="G67" s="412"/>
      <c r="H67" s="412"/>
      <c r="I67" s="412"/>
      <c r="J67" s="412"/>
      <c r="K67" s="491"/>
      <c r="L67" s="429"/>
      <c r="M67" s="501"/>
      <c r="N67" s="509"/>
      <c r="O67" s="59" t="s">
        <v>265</v>
      </c>
      <c r="P67" s="48">
        <v>1</v>
      </c>
      <c r="Q67" s="48">
        <v>1</v>
      </c>
      <c r="R67" s="48">
        <v>1</v>
      </c>
      <c r="S67" s="140">
        <f t="shared" si="2"/>
        <v>1</v>
      </c>
      <c r="T67" s="309"/>
      <c r="U67" s="72" t="s">
        <v>267</v>
      </c>
      <c r="V67" s="66" t="s">
        <v>194</v>
      </c>
      <c r="W67" s="97">
        <v>4300000</v>
      </c>
      <c r="X67" s="171">
        <v>2858126.04</v>
      </c>
      <c r="Y67" s="141">
        <f t="shared" si="0"/>
        <v>0.6646804744186047</v>
      </c>
      <c r="Z67" s="186" t="s">
        <v>370</v>
      </c>
      <c r="AA67" s="182" t="s">
        <v>371</v>
      </c>
      <c r="AB67" s="121" t="s">
        <v>409</v>
      </c>
      <c r="AC67" s="519"/>
    </row>
    <row r="68" spans="1:29" s="1" customFormat="1" ht="148.5" customHeight="1" thickBot="1">
      <c r="A68" s="494"/>
      <c r="B68" s="416"/>
      <c r="C68" s="416"/>
      <c r="D68" s="416"/>
      <c r="E68" s="413"/>
      <c r="F68" s="413"/>
      <c r="G68" s="413"/>
      <c r="H68" s="413"/>
      <c r="I68" s="413"/>
      <c r="J68" s="413"/>
      <c r="K68" s="492"/>
      <c r="L68" s="429"/>
      <c r="M68" s="501"/>
      <c r="N68" s="509"/>
      <c r="O68" s="59" t="s">
        <v>266</v>
      </c>
      <c r="P68" s="48">
        <v>0</v>
      </c>
      <c r="Q68" s="48">
        <v>1</v>
      </c>
      <c r="R68" s="48">
        <v>0.5</v>
      </c>
      <c r="S68" s="140">
        <f t="shared" si="2"/>
        <v>0.5</v>
      </c>
      <c r="T68" s="309"/>
      <c r="U68" s="72" t="s">
        <v>267</v>
      </c>
      <c r="V68" s="66" t="s">
        <v>194</v>
      </c>
      <c r="W68" s="97">
        <v>19600000</v>
      </c>
      <c r="X68" s="171">
        <f>19600000</f>
        <v>19600000</v>
      </c>
      <c r="Y68" s="141">
        <f t="shared" si="0"/>
        <v>1</v>
      </c>
      <c r="Z68" s="186" t="s">
        <v>370</v>
      </c>
      <c r="AA68" s="182" t="s">
        <v>371</v>
      </c>
      <c r="AB68" s="121" t="s">
        <v>394</v>
      </c>
      <c r="AC68" s="519"/>
    </row>
    <row r="69" spans="1:29" s="1" customFormat="1" ht="114" customHeight="1" thickBot="1">
      <c r="A69" s="29" t="s">
        <v>54</v>
      </c>
      <c r="B69" s="24" t="s">
        <v>33</v>
      </c>
      <c r="C69" s="25" t="s">
        <v>39</v>
      </c>
      <c r="D69" s="26" t="s">
        <v>35</v>
      </c>
      <c r="E69" s="25">
        <v>1</v>
      </c>
      <c r="F69" s="25" t="s">
        <v>83</v>
      </c>
      <c r="G69" s="27" t="s">
        <v>36</v>
      </c>
      <c r="H69" s="27" t="s">
        <v>84</v>
      </c>
      <c r="I69" s="50" t="s">
        <v>85</v>
      </c>
      <c r="J69" s="28">
        <v>1</v>
      </c>
      <c r="K69" s="43" t="s">
        <v>83</v>
      </c>
      <c r="L69" s="92">
        <v>2020630010112</v>
      </c>
      <c r="M69" s="46" t="s">
        <v>327</v>
      </c>
      <c r="N69" s="46" t="s">
        <v>326</v>
      </c>
      <c r="O69" s="74" t="s">
        <v>349</v>
      </c>
      <c r="P69" s="79">
        <v>0</v>
      </c>
      <c r="Q69" s="48" t="s">
        <v>218</v>
      </c>
      <c r="R69" s="48"/>
      <c r="S69" s="140" t="e">
        <f t="shared" si="2"/>
        <v>#VALUE!</v>
      </c>
      <c r="T69" s="27" t="s">
        <v>84</v>
      </c>
      <c r="U69" s="79" t="s">
        <v>218</v>
      </c>
      <c r="V69" s="79" t="s">
        <v>218</v>
      </c>
      <c r="W69" s="64">
        <v>0</v>
      </c>
      <c r="X69" s="113"/>
      <c r="Y69" s="141" t="e">
        <f t="shared" si="0"/>
        <v>#DIV/0!</v>
      </c>
      <c r="Z69" s="113"/>
      <c r="AA69" s="113"/>
      <c r="AB69" s="113"/>
      <c r="AC69" s="98" t="s">
        <v>317</v>
      </c>
    </row>
    <row r="70" spans="1:29" s="1" customFormat="1" ht="45" customHeight="1" thickBot="1">
      <c r="A70" s="29" t="s">
        <v>54</v>
      </c>
      <c r="B70" s="24" t="s">
        <v>48</v>
      </c>
      <c r="C70" s="33" t="s">
        <v>49</v>
      </c>
      <c r="D70" s="26" t="s">
        <v>50</v>
      </c>
      <c r="E70" s="25">
        <v>0</v>
      </c>
      <c r="F70" s="25">
        <v>1</v>
      </c>
      <c r="G70" s="27" t="s">
        <v>51</v>
      </c>
      <c r="H70" s="27" t="s">
        <v>86</v>
      </c>
      <c r="I70" s="50" t="s">
        <v>86</v>
      </c>
      <c r="J70" s="28">
        <v>0</v>
      </c>
      <c r="K70" s="43">
        <v>1</v>
      </c>
      <c r="L70" s="429">
        <v>2020630010114</v>
      </c>
      <c r="M70" s="433" t="s">
        <v>166</v>
      </c>
      <c r="N70" s="433" t="s">
        <v>158</v>
      </c>
      <c r="O70" s="46" t="s">
        <v>328</v>
      </c>
      <c r="P70" s="79">
        <v>0</v>
      </c>
      <c r="Q70" s="48" t="s">
        <v>218</v>
      </c>
      <c r="R70" s="48"/>
      <c r="S70" s="140" t="e">
        <f t="shared" si="2"/>
        <v>#VALUE!</v>
      </c>
      <c r="T70" s="27" t="s">
        <v>86</v>
      </c>
      <c r="U70" s="79" t="s">
        <v>218</v>
      </c>
      <c r="V70" s="79" t="s">
        <v>218</v>
      </c>
      <c r="W70" s="64">
        <v>0</v>
      </c>
      <c r="X70" s="113"/>
      <c r="Y70" s="141" t="e">
        <f t="shared" si="0"/>
        <v>#DIV/0!</v>
      </c>
      <c r="Z70" s="113"/>
      <c r="AA70" s="113"/>
      <c r="AB70" s="113"/>
      <c r="AC70" s="519" t="s">
        <v>317</v>
      </c>
    </row>
    <row r="71" spans="1:29" s="1" customFormat="1" ht="45" customHeight="1" thickBot="1">
      <c r="A71" s="29" t="s">
        <v>54</v>
      </c>
      <c r="B71" s="24" t="s">
        <v>48</v>
      </c>
      <c r="C71" s="33" t="s">
        <v>49</v>
      </c>
      <c r="D71" s="26" t="s">
        <v>50</v>
      </c>
      <c r="E71" s="25">
        <v>0</v>
      </c>
      <c r="F71" s="25">
        <v>1</v>
      </c>
      <c r="G71" s="27" t="s">
        <v>51</v>
      </c>
      <c r="H71" s="27" t="s">
        <v>87</v>
      </c>
      <c r="I71" s="50" t="s">
        <v>87</v>
      </c>
      <c r="J71" s="28">
        <v>0</v>
      </c>
      <c r="K71" s="43">
        <v>1</v>
      </c>
      <c r="L71" s="429"/>
      <c r="M71" s="433"/>
      <c r="N71" s="433"/>
      <c r="O71" s="46" t="s">
        <v>329</v>
      </c>
      <c r="P71" s="79">
        <v>0</v>
      </c>
      <c r="Q71" s="48" t="s">
        <v>218</v>
      </c>
      <c r="R71" s="48"/>
      <c r="S71" s="140" t="e">
        <f t="shared" si="2"/>
        <v>#VALUE!</v>
      </c>
      <c r="T71" s="27" t="s">
        <v>87</v>
      </c>
      <c r="U71" s="79" t="s">
        <v>218</v>
      </c>
      <c r="V71" s="79" t="s">
        <v>218</v>
      </c>
      <c r="W71" s="64">
        <v>0</v>
      </c>
      <c r="X71" s="113"/>
      <c r="Y71" s="141" t="e">
        <f t="shared" si="0"/>
        <v>#DIV/0!</v>
      </c>
      <c r="Z71" s="113"/>
      <c r="AA71" s="113"/>
      <c r="AB71" s="113"/>
      <c r="AC71" s="519"/>
    </row>
    <row r="72" spans="1:29" s="1" customFormat="1" ht="67.5" customHeight="1" thickBot="1">
      <c r="A72" s="29" t="s">
        <v>54</v>
      </c>
      <c r="B72" s="24" t="s">
        <v>88</v>
      </c>
      <c r="C72" s="25" t="s">
        <v>89</v>
      </c>
      <c r="D72" s="26" t="s">
        <v>90</v>
      </c>
      <c r="E72" s="25">
        <v>0</v>
      </c>
      <c r="F72" s="25" t="s">
        <v>91</v>
      </c>
      <c r="G72" s="27" t="s">
        <v>92</v>
      </c>
      <c r="H72" s="50" t="s">
        <v>93</v>
      </c>
      <c r="I72" s="50" t="s">
        <v>93</v>
      </c>
      <c r="J72" s="28">
        <v>0</v>
      </c>
      <c r="K72" s="42" t="s">
        <v>91</v>
      </c>
      <c r="L72" s="429">
        <v>2020630010107</v>
      </c>
      <c r="M72" s="346" t="s">
        <v>216</v>
      </c>
      <c r="N72" s="433" t="s">
        <v>174</v>
      </c>
      <c r="O72" s="46" t="s">
        <v>348</v>
      </c>
      <c r="P72" s="79">
        <v>0</v>
      </c>
      <c r="Q72" s="48" t="s">
        <v>218</v>
      </c>
      <c r="R72" s="48"/>
      <c r="S72" s="140" t="e">
        <f t="shared" si="2"/>
        <v>#VALUE!</v>
      </c>
      <c r="T72" s="27" t="s">
        <v>93</v>
      </c>
      <c r="U72" s="79" t="s">
        <v>218</v>
      </c>
      <c r="V72" s="79" t="s">
        <v>218</v>
      </c>
      <c r="W72" s="64">
        <v>0</v>
      </c>
      <c r="X72" s="113"/>
      <c r="Y72" s="141" t="e">
        <f t="shared" si="0"/>
        <v>#DIV/0!</v>
      </c>
      <c r="Z72" s="113"/>
      <c r="AA72" s="113"/>
      <c r="AB72" s="113"/>
      <c r="AC72" s="189" t="s">
        <v>317</v>
      </c>
    </row>
    <row r="73" spans="1:29" s="1" customFormat="1" ht="81.75" customHeight="1" thickBot="1">
      <c r="A73" s="328"/>
      <c r="B73" s="313"/>
      <c r="C73" s="316"/>
      <c r="D73" s="313"/>
      <c r="E73" s="316"/>
      <c r="F73" s="316"/>
      <c r="G73" s="313"/>
      <c r="H73" s="313"/>
      <c r="I73" s="313"/>
      <c r="J73" s="316"/>
      <c r="K73" s="332"/>
      <c r="L73" s="429"/>
      <c r="M73" s="346"/>
      <c r="N73" s="433"/>
      <c r="O73" s="505" t="s">
        <v>410</v>
      </c>
      <c r="P73" s="507">
        <v>0</v>
      </c>
      <c r="Q73" s="485" t="s">
        <v>411</v>
      </c>
      <c r="R73" s="346">
        <v>0</v>
      </c>
      <c r="S73" s="489">
        <v>0.5</v>
      </c>
      <c r="T73" s="309"/>
      <c r="U73" s="54" t="s">
        <v>283</v>
      </c>
      <c r="V73" s="47" t="s">
        <v>239</v>
      </c>
      <c r="W73" s="86">
        <f>802122513</f>
        <v>802122513</v>
      </c>
      <c r="X73" s="123">
        <v>0</v>
      </c>
      <c r="Y73" s="141">
        <f t="shared" si="0"/>
        <v>0</v>
      </c>
      <c r="Z73" s="312" t="s">
        <v>370</v>
      </c>
      <c r="AA73" s="315" t="s">
        <v>371</v>
      </c>
      <c r="AB73" s="300" t="s">
        <v>394</v>
      </c>
      <c r="AC73" s="321" t="s">
        <v>317</v>
      </c>
    </row>
    <row r="74" spans="1:29" s="1" customFormat="1" ht="81.75" customHeight="1" thickBot="1">
      <c r="A74" s="328"/>
      <c r="B74" s="313"/>
      <c r="C74" s="316"/>
      <c r="D74" s="313"/>
      <c r="E74" s="316"/>
      <c r="F74" s="316"/>
      <c r="G74" s="313"/>
      <c r="H74" s="313"/>
      <c r="I74" s="313"/>
      <c r="J74" s="316"/>
      <c r="K74" s="332"/>
      <c r="L74" s="429"/>
      <c r="M74" s="346"/>
      <c r="N74" s="433"/>
      <c r="O74" s="506"/>
      <c r="P74" s="507"/>
      <c r="Q74" s="485"/>
      <c r="R74" s="346"/>
      <c r="S74" s="384"/>
      <c r="T74" s="309"/>
      <c r="U74" s="54" t="s">
        <v>284</v>
      </c>
      <c r="V74" s="47" t="s">
        <v>285</v>
      </c>
      <c r="W74" s="86">
        <v>622923023</v>
      </c>
      <c r="X74" s="123">
        <v>0</v>
      </c>
      <c r="Y74" s="141">
        <f t="shared" si="0"/>
        <v>0</v>
      </c>
      <c r="Z74" s="313"/>
      <c r="AA74" s="316"/>
      <c r="AB74" s="306"/>
      <c r="AC74" s="322"/>
    </row>
    <row r="75" spans="1:29" s="1" customFormat="1" ht="81.75" customHeight="1" thickBot="1">
      <c r="A75" s="328"/>
      <c r="B75" s="313"/>
      <c r="C75" s="316"/>
      <c r="D75" s="313"/>
      <c r="E75" s="316"/>
      <c r="F75" s="316"/>
      <c r="G75" s="313"/>
      <c r="H75" s="313"/>
      <c r="I75" s="313"/>
      <c r="J75" s="316"/>
      <c r="K75" s="332"/>
      <c r="L75" s="429"/>
      <c r="M75" s="346"/>
      <c r="N75" s="433"/>
      <c r="O75" s="506"/>
      <c r="P75" s="508"/>
      <c r="Q75" s="443"/>
      <c r="R75" s="346"/>
      <c r="S75" s="351"/>
      <c r="T75" s="309"/>
      <c r="U75" s="54" t="s">
        <v>286</v>
      </c>
      <c r="V75" s="47" t="s">
        <v>287</v>
      </c>
      <c r="W75" s="64">
        <v>311098365</v>
      </c>
      <c r="X75" s="113">
        <v>0</v>
      </c>
      <c r="Y75" s="141">
        <f t="shared" si="0"/>
        <v>0</v>
      </c>
      <c r="Z75" s="314"/>
      <c r="AA75" s="317"/>
      <c r="AB75" s="318"/>
      <c r="AC75" s="322"/>
    </row>
    <row r="76" spans="1:29" s="1" customFormat="1" ht="81.75" customHeight="1" thickBot="1">
      <c r="A76" s="328"/>
      <c r="B76" s="313"/>
      <c r="C76" s="316"/>
      <c r="D76" s="313"/>
      <c r="E76" s="316"/>
      <c r="F76" s="316"/>
      <c r="G76" s="313"/>
      <c r="H76" s="313"/>
      <c r="I76" s="313"/>
      <c r="J76" s="316"/>
      <c r="K76" s="332"/>
      <c r="L76" s="429"/>
      <c r="M76" s="346"/>
      <c r="N76" s="433"/>
      <c r="O76" s="26" t="s">
        <v>280</v>
      </c>
      <c r="P76" s="48">
        <v>0</v>
      </c>
      <c r="Q76" s="48">
        <v>2000</v>
      </c>
      <c r="R76" s="48">
        <v>0</v>
      </c>
      <c r="S76" s="140">
        <f>R76/Q76</f>
        <v>0</v>
      </c>
      <c r="T76" s="309"/>
      <c r="U76" s="178" t="s">
        <v>288</v>
      </c>
      <c r="V76" s="66" t="s">
        <v>289</v>
      </c>
      <c r="W76" s="97">
        <v>3511730085</v>
      </c>
      <c r="X76" s="190">
        <v>0</v>
      </c>
      <c r="Y76" s="141">
        <f t="shared" si="0"/>
        <v>0</v>
      </c>
      <c r="Z76" s="186" t="s">
        <v>370</v>
      </c>
      <c r="AA76" s="182" t="s">
        <v>371</v>
      </c>
      <c r="AB76" s="121" t="s">
        <v>394</v>
      </c>
      <c r="AC76" s="323"/>
    </row>
    <row r="77" spans="1:30" s="1" customFormat="1" ht="81.75" customHeight="1" thickBot="1">
      <c r="A77" s="329"/>
      <c r="B77" s="314"/>
      <c r="C77" s="317"/>
      <c r="D77" s="314"/>
      <c r="E77" s="317"/>
      <c r="F77" s="317"/>
      <c r="G77" s="314"/>
      <c r="H77" s="314"/>
      <c r="I77" s="314"/>
      <c r="J77" s="317"/>
      <c r="K77" s="333"/>
      <c r="L77" s="429"/>
      <c r="M77" s="346"/>
      <c r="N77" s="433"/>
      <c r="O77" s="66" t="s">
        <v>281</v>
      </c>
      <c r="P77" s="48">
        <v>0</v>
      </c>
      <c r="Q77" s="48">
        <v>1</v>
      </c>
      <c r="R77" s="48">
        <v>1</v>
      </c>
      <c r="S77" s="140">
        <f>R77/Q77</f>
        <v>1</v>
      </c>
      <c r="T77" s="309"/>
      <c r="U77" s="66" t="s">
        <v>282</v>
      </c>
      <c r="V77" s="66" t="s">
        <v>188</v>
      </c>
      <c r="W77" s="97">
        <v>14614822.95</v>
      </c>
      <c r="X77" s="169">
        <v>14614822.95</v>
      </c>
      <c r="Y77" s="141">
        <f t="shared" si="0"/>
        <v>1</v>
      </c>
      <c r="Z77" s="194" t="s">
        <v>370</v>
      </c>
      <c r="AA77" s="185" t="s">
        <v>371</v>
      </c>
      <c r="AB77" s="165" t="s">
        <v>413</v>
      </c>
      <c r="AC77" s="323"/>
      <c r="AD77" s="75"/>
    </row>
    <row r="78" spans="1:29" s="65" customFormat="1" ht="88.5" customHeight="1" thickBot="1">
      <c r="A78" s="523" t="s">
        <v>54</v>
      </c>
      <c r="B78" s="417" t="s">
        <v>88</v>
      </c>
      <c r="C78" s="408" t="s">
        <v>89</v>
      </c>
      <c r="D78" s="408" t="s">
        <v>90</v>
      </c>
      <c r="E78" s="408">
        <v>2</v>
      </c>
      <c r="F78" s="408" t="s">
        <v>94</v>
      </c>
      <c r="G78" s="408" t="s">
        <v>92</v>
      </c>
      <c r="H78" s="408" t="s">
        <v>95</v>
      </c>
      <c r="I78" s="408" t="s">
        <v>96</v>
      </c>
      <c r="J78" s="513">
        <v>2</v>
      </c>
      <c r="K78" s="510" t="s">
        <v>94</v>
      </c>
      <c r="L78" s="429"/>
      <c r="M78" s="346"/>
      <c r="N78" s="433"/>
      <c r="O78" s="66" t="s">
        <v>412</v>
      </c>
      <c r="P78" s="48">
        <v>0</v>
      </c>
      <c r="Q78" s="48">
        <v>1</v>
      </c>
      <c r="R78" s="48">
        <v>0.2</v>
      </c>
      <c r="S78" s="140">
        <f>R78/Q78</f>
        <v>0.2</v>
      </c>
      <c r="T78" s="476" t="s">
        <v>213</v>
      </c>
      <c r="U78" s="168" t="s">
        <v>286</v>
      </c>
      <c r="V78" s="168" t="s">
        <v>182</v>
      </c>
      <c r="W78" s="167">
        <v>8318130</v>
      </c>
      <c r="X78" s="191">
        <v>0</v>
      </c>
      <c r="Y78" s="141">
        <f t="shared" si="0"/>
        <v>0</v>
      </c>
      <c r="Z78" s="327" t="s">
        <v>370</v>
      </c>
      <c r="AA78" s="327" t="s">
        <v>371</v>
      </c>
      <c r="AB78" s="165" t="s">
        <v>414</v>
      </c>
      <c r="AC78" s="323"/>
    </row>
    <row r="79" spans="1:29" s="65" customFormat="1" ht="98.25" customHeight="1" thickBot="1">
      <c r="A79" s="524"/>
      <c r="B79" s="418"/>
      <c r="C79" s="409"/>
      <c r="D79" s="409"/>
      <c r="E79" s="409"/>
      <c r="F79" s="409"/>
      <c r="G79" s="409"/>
      <c r="H79" s="409"/>
      <c r="I79" s="409"/>
      <c r="J79" s="514"/>
      <c r="K79" s="511"/>
      <c r="L79" s="429"/>
      <c r="M79" s="346"/>
      <c r="N79" s="433"/>
      <c r="O79" s="87" t="s">
        <v>319</v>
      </c>
      <c r="P79" s="48">
        <v>0</v>
      </c>
      <c r="Q79" s="148">
        <v>1</v>
      </c>
      <c r="R79" s="148">
        <v>1</v>
      </c>
      <c r="S79" s="143">
        <v>0.15</v>
      </c>
      <c r="T79" s="476"/>
      <c r="U79" s="46" t="s">
        <v>321</v>
      </c>
      <c r="V79" s="46" t="s">
        <v>322</v>
      </c>
      <c r="W79" s="88">
        <f>(31187683+168912317+156454991)-30714495+5906758</f>
        <v>331747254</v>
      </c>
      <c r="X79" s="192">
        <v>0</v>
      </c>
      <c r="Y79" s="141"/>
      <c r="Z79" s="306"/>
      <c r="AA79" s="306"/>
      <c r="AB79" s="193" t="s">
        <v>415</v>
      </c>
      <c r="AC79" s="323"/>
    </row>
    <row r="80" spans="1:29" s="65" customFormat="1" ht="72" customHeight="1" thickBot="1">
      <c r="A80" s="524"/>
      <c r="B80" s="418"/>
      <c r="C80" s="409"/>
      <c r="D80" s="409"/>
      <c r="E80" s="409"/>
      <c r="F80" s="409"/>
      <c r="G80" s="409"/>
      <c r="H80" s="409"/>
      <c r="I80" s="409"/>
      <c r="J80" s="514"/>
      <c r="K80" s="511"/>
      <c r="L80" s="429"/>
      <c r="M80" s="346"/>
      <c r="N80" s="433"/>
      <c r="O80" s="475" t="s">
        <v>320</v>
      </c>
      <c r="P80" s="346">
        <v>0</v>
      </c>
      <c r="Q80" s="386">
        <v>1</v>
      </c>
      <c r="R80" s="386">
        <v>1</v>
      </c>
      <c r="S80" s="350">
        <f>R80/Q80</f>
        <v>1</v>
      </c>
      <c r="T80" s="476"/>
      <c r="U80" s="46" t="s">
        <v>321</v>
      </c>
      <c r="V80" s="46" t="s">
        <v>322</v>
      </c>
      <c r="W80" s="88">
        <v>30714495</v>
      </c>
      <c r="X80" s="169">
        <v>29504331</v>
      </c>
      <c r="Y80" s="141">
        <f t="shared" si="0"/>
        <v>0.9605995801005356</v>
      </c>
      <c r="Z80" s="306"/>
      <c r="AA80" s="306"/>
      <c r="AB80" s="319" t="s">
        <v>416</v>
      </c>
      <c r="AC80" s="323"/>
    </row>
    <row r="81" spans="1:29" s="65" customFormat="1" ht="72" customHeight="1" thickBot="1">
      <c r="A81" s="524"/>
      <c r="B81" s="418"/>
      <c r="C81" s="409"/>
      <c r="D81" s="409"/>
      <c r="E81" s="409"/>
      <c r="F81" s="409"/>
      <c r="G81" s="409"/>
      <c r="H81" s="409"/>
      <c r="I81" s="409"/>
      <c r="J81" s="514"/>
      <c r="K81" s="511"/>
      <c r="L81" s="429"/>
      <c r="M81" s="346"/>
      <c r="N81" s="433"/>
      <c r="O81" s="433"/>
      <c r="P81" s="346"/>
      <c r="Q81" s="386"/>
      <c r="R81" s="386"/>
      <c r="S81" s="384"/>
      <c r="T81" s="476"/>
      <c r="U81" s="46" t="s">
        <v>323</v>
      </c>
      <c r="V81" s="46" t="s">
        <v>182</v>
      </c>
      <c r="W81" s="171">
        <v>383949940</v>
      </c>
      <c r="X81" s="169">
        <v>366547471</v>
      </c>
      <c r="Y81" s="141">
        <f t="shared" si="0"/>
        <v>0.9546751615588219</v>
      </c>
      <c r="Z81" s="306"/>
      <c r="AA81" s="306"/>
      <c r="AB81" s="320"/>
      <c r="AC81" s="323"/>
    </row>
    <row r="82" spans="1:29" s="65" customFormat="1" ht="72" customHeight="1" thickBot="1">
      <c r="A82" s="525"/>
      <c r="B82" s="419"/>
      <c r="C82" s="410"/>
      <c r="D82" s="410"/>
      <c r="E82" s="410"/>
      <c r="F82" s="410"/>
      <c r="G82" s="410"/>
      <c r="H82" s="410"/>
      <c r="I82" s="410"/>
      <c r="J82" s="515"/>
      <c r="K82" s="512"/>
      <c r="L82" s="429"/>
      <c r="M82" s="346"/>
      <c r="N82" s="433"/>
      <c r="O82" s="433"/>
      <c r="P82" s="346"/>
      <c r="Q82" s="386"/>
      <c r="R82" s="386"/>
      <c r="S82" s="351"/>
      <c r="T82" s="476"/>
      <c r="U82" s="46" t="s">
        <v>323</v>
      </c>
      <c r="V82" s="46" t="s">
        <v>182</v>
      </c>
      <c r="W82" s="88">
        <f>(400000000+898036138)-W81-514086198</f>
        <v>400000000</v>
      </c>
      <c r="X82" s="88">
        <v>0</v>
      </c>
      <c r="Y82" s="141">
        <f t="shared" si="0"/>
        <v>0</v>
      </c>
      <c r="Z82" s="318"/>
      <c r="AA82" s="318"/>
      <c r="AB82" s="193" t="s">
        <v>417</v>
      </c>
      <c r="AC82" s="324"/>
    </row>
    <row r="83" spans="1:29" s="1" customFormat="1" ht="99.75" customHeight="1" thickBot="1">
      <c r="A83" s="34" t="s">
        <v>54</v>
      </c>
      <c r="B83" s="35" t="s">
        <v>97</v>
      </c>
      <c r="C83" s="25" t="s">
        <v>98</v>
      </c>
      <c r="D83" s="27" t="s">
        <v>99</v>
      </c>
      <c r="E83" s="25">
        <v>0</v>
      </c>
      <c r="F83" s="25" t="s">
        <v>100</v>
      </c>
      <c r="G83" s="27" t="s">
        <v>101</v>
      </c>
      <c r="H83" s="27" t="s">
        <v>102</v>
      </c>
      <c r="I83" s="50" t="s">
        <v>103</v>
      </c>
      <c r="J83" s="28">
        <v>0</v>
      </c>
      <c r="K83" s="43" t="s">
        <v>100</v>
      </c>
      <c r="L83" s="92">
        <v>2020630010115</v>
      </c>
      <c r="M83" s="46" t="s">
        <v>330</v>
      </c>
      <c r="N83" s="46" t="s">
        <v>331</v>
      </c>
      <c r="O83" s="49" t="s">
        <v>347</v>
      </c>
      <c r="P83" s="48">
        <v>0</v>
      </c>
      <c r="Q83" s="48">
        <v>1</v>
      </c>
      <c r="R83" s="48">
        <v>0.04</v>
      </c>
      <c r="S83" s="140">
        <f aca="true" t="shared" si="3" ref="S83:S115">R83/Q83</f>
        <v>0.04</v>
      </c>
      <c r="T83" s="47" t="s">
        <v>201</v>
      </c>
      <c r="U83" s="51" t="s">
        <v>202</v>
      </c>
      <c r="V83" s="47" t="s">
        <v>194</v>
      </c>
      <c r="W83" s="64">
        <v>80000000</v>
      </c>
      <c r="X83" s="113">
        <v>0</v>
      </c>
      <c r="Y83" s="141">
        <f aca="true" t="shared" si="4" ref="Y83:Y120">X83/W83</f>
        <v>0</v>
      </c>
      <c r="Z83" s="194" t="s">
        <v>370</v>
      </c>
      <c r="AA83" s="185" t="s">
        <v>371</v>
      </c>
      <c r="AB83" s="113" t="s">
        <v>418</v>
      </c>
      <c r="AC83" s="98" t="s">
        <v>317</v>
      </c>
    </row>
    <row r="84" spans="1:29" s="1" customFormat="1" ht="45" customHeight="1" thickBot="1">
      <c r="A84" s="338" t="s">
        <v>54</v>
      </c>
      <c r="B84" s="342" t="s">
        <v>42</v>
      </c>
      <c r="C84" s="342" t="s">
        <v>104</v>
      </c>
      <c r="D84" s="342" t="s">
        <v>44</v>
      </c>
      <c r="E84" s="342">
        <v>12</v>
      </c>
      <c r="F84" s="342" t="s">
        <v>105</v>
      </c>
      <c r="G84" s="342" t="s">
        <v>45</v>
      </c>
      <c r="H84" s="342" t="s">
        <v>106</v>
      </c>
      <c r="I84" s="408" t="s">
        <v>107</v>
      </c>
      <c r="J84" s="408">
        <v>12</v>
      </c>
      <c r="K84" s="496" t="s">
        <v>105</v>
      </c>
      <c r="L84" s="429">
        <v>2020630010173</v>
      </c>
      <c r="M84" s="520" t="s">
        <v>172</v>
      </c>
      <c r="N84" s="435" t="s">
        <v>173</v>
      </c>
      <c r="O84" s="521" t="s">
        <v>290</v>
      </c>
      <c r="P84" s="346">
        <v>0</v>
      </c>
      <c r="Q84" s="346">
        <v>1</v>
      </c>
      <c r="R84" s="346">
        <v>0.7</v>
      </c>
      <c r="S84" s="350">
        <f t="shared" si="3"/>
        <v>0.7</v>
      </c>
      <c r="T84" s="309" t="s">
        <v>106</v>
      </c>
      <c r="U84" s="178" t="s">
        <v>294</v>
      </c>
      <c r="V84" s="66" t="s">
        <v>295</v>
      </c>
      <c r="W84" s="97">
        <f>690655652</f>
        <v>690655652</v>
      </c>
      <c r="X84" s="174">
        <v>684127563</v>
      </c>
      <c r="Y84" s="141">
        <f t="shared" si="4"/>
        <v>0.9905479829476586</v>
      </c>
      <c r="Z84" s="300" t="s">
        <v>370</v>
      </c>
      <c r="AA84" s="300" t="s">
        <v>371</v>
      </c>
      <c r="AB84" s="300" t="s">
        <v>419</v>
      </c>
      <c r="AC84" s="519" t="s">
        <v>317</v>
      </c>
    </row>
    <row r="85" spans="1:29" s="1" customFormat="1" ht="45" customHeight="1" thickBot="1">
      <c r="A85" s="339"/>
      <c r="B85" s="343"/>
      <c r="C85" s="343"/>
      <c r="D85" s="343"/>
      <c r="E85" s="343"/>
      <c r="F85" s="343"/>
      <c r="G85" s="343"/>
      <c r="H85" s="343"/>
      <c r="I85" s="409"/>
      <c r="J85" s="409"/>
      <c r="K85" s="497"/>
      <c r="L85" s="429"/>
      <c r="M85" s="520"/>
      <c r="N85" s="435"/>
      <c r="O85" s="480"/>
      <c r="P85" s="346"/>
      <c r="Q85" s="346"/>
      <c r="R85" s="346"/>
      <c r="S85" s="351"/>
      <c r="T85" s="309"/>
      <c r="U85" s="178" t="s">
        <v>297</v>
      </c>
      <c r="V85" s="66" t="s">
        <v>194</v>
      </c>
      <c r="W85" s="97">
        <v>10555824</v>
      </c>
      <c r="X85" s="171">
        <v>0</v>
      </c>
      <c r="Y85" s="141">
        <f t="shared" si="4"/>
        <v>0</v>
      </c>
      <c r="Z85" s="301"/>
      <c r="AA85" s="301"/>
      <c r="AB85" s="301"/>
      <c r="AC85" s="519"/>
    </row>
    <row r="86" spans="1:29" s="1" customFormat="1" ht="75.75" customHeight="1" thickBot="1">
      <c r="A86" s="339"/>
      <c r="B86" s="343"/>
      <c r="C86" s="343"/>
      <c r="D86" s="343"/>
      <c r="E86" s="343"/>
      <c r="F86" s="343"/>
      <c r="G86" s="343"/>
      <c r="H86" s="343"/>
      <c r="I86" s="409"/>
      <c r="J86" s="409"/>
      <c r="K86" s="497"/>
      <c r="L86" s="429"/>
      <c r="M86" s="520"/>
      <c r="N86" s="435"/>
      <c r="O86" s="66" t="s">
        <v>291</v>
      </c>
      <c r="P86" s="48">
        <v>0</v>
      </c>
      <c r="Q86" s="48">
        <v>5</v>
      </c>
      <c r="R86" s="48">
        <v>0</v>
      </c>
      <c r="S86" s="140">
        <v>0.5</v>
      </c>
      <c r="T86" s="309"/>
      <c r="U86" s="178" t="s">
        <v>297</v>
      </c>
      <c r="V86" s="66" t="s">
        <v>194</v>
      </c>
      <c r="W86" s="97">
        <v>200000000</v>
      </c>
      <c r="X86" s="171">
        <v>0</v>
      </c>
      <c r="Y86" s="141">
        <f t="shared" si="4"/>
        <v>0</v>
      </c>
      <c r="Z86" s="121" t="s">
        <v>370</v>
      </c>
      <c r="AA86" s="113" t="s">
        <v>371</v>
      </c>
      <c r="AB86" s="121" t="s">
        <v>420</v>
      </c>
      <c r="AC86" s="519"/>
    </row>
    <row r="87" spans="1:29" s="1" customFormat="1" ht="79.5" customHeight="1" thickBot="1">
      <c r="A87" s="339"/>
      <c r="B87" s="343"/>
      <c r="C87" s="343"/>
      <c r="D87" s="343"/>
      <c r="E87" s="343"/>
      <c r="F87" s="343"/>
      <c r="G87" s="343"/>
      <c r="H87" s="343"/>
      <c r="I87" s="409"/>
      <c r="J87" s="409"/>
      <c r="K87" s="497"/>
      <c r="L87" s="429"/>
      <c r="M87" s="520"/>
      <c r="N87" s="435"/>
      <c r="O87" s="66" t="s">
        <v>292</v>
      </c>
      <c r="P87" s="48">
        <v>0</v>
      </c>
      <c r="Q87" s="48">
        <v>1</v>
      </c>
      <c r="R87" s="48">
        <v>0.5</v>
      </c>
      <c r="S87" s="140">
        <f t="shared" si="3"/>
        <v>0.5</v>
      </c>
      <c r="T87" s="309"/>
      <c r="U87" s="178" t="s">
        <v>297</v>
      </c>
      <c r="V87" s="66" t="s">
        <v>194</v>
      </c>
      <c r="W87" s="97">
        <v>408000000</v>
      </c>
      <c r="X87" s="171">
        <v>0</v>
      </c>
      <c r="Y87" s="141">
        <f t="shared" si="4"/>
        <v>0</v>
      </c>
      <c r="Z87" s="121" t="s">
        <v>370</v>
      </c>
      <c r="AA87" s="113" t="s">
        <v>371</v>
      </c>
      <c r="AB87" s="121" t="s">
        <v>420</v>
      </c>
      <c r="AC87" s="519"/>
    </row>
    <row r="88" spans="1:29" s="1" customFormat="1" ht="93.75" customHeight="1" thickBot="1">
      <c r="A88" s="494"/>
      <c r="B88" s="416"/>
      <c r="C88" s="416"/>
      <c r="D88" s="416"/>
      <c r="E88" s="416"/>
      <c r="F88" s="416"/>
      <c r="G88" s="416"/>
      <c r="H88" s="416"/>
      <c r="I88" s="410"/>
      <c r="J88" s="410"/>
      <c r="K88" s="498"/>
      <c r="L88" s="429"/>
      <c r="M88" s="520"/>
      <c r="N88" s="435"/>
      <c r="O88" s="66" t="s">
        <v>293</v>
      </c>
      <c r="P88" s="48">
        <v>0</v>
      </c>
      <c r="Q88" s="48">
        <v>1</v>
      </c>
      <c r="R88" s="48">
        <v>1</v>
      </c>
      <c r="S88" s="140">
        <f t="shared" si="3"/>
        <v>1</v>
      </c>
      <c r="T88" s="309"/>
      <c r="U88" s="178" t="s">
        <v>297</v>
      </c>
      <c r="V88" s="66" t="s">
        <v>194</v>
      </c>
      <c r="W88" s="97">
        <v>55734747.63</v>
      </c>
      <c r="X88" s="176">
        <v>55669152</v>
      </c>
      <c r="Y88" s="141">
        <f t="shared" si="4"/>
        <v>0.9988230747820828</v>
      </c>
      <c r="Z88" s="121" t="s">
        <v>370</v>
      </c>
      <c r="AA88" s="113" t="s">
        <v>371</v>
      </c>
      <c r="AB88" s="121" t="s">
        <v>421</v>
      </c>
      <c r="AC88" s="519"/>
    </row>
    <row r="89" spans="1:29" s="1" customFormat="1" ht="159" customHeight="1" thickBot="1">
      <c r="A89" s="338" t="s">
        <v>54</v>
      </c>
      <c r="B89" s="342" t="s">
        <v>42</v>
      </c>
      <c r="C89" s="342" t="s">
        <v>104</v>
      </c>
      <c r="D89" s="342" t="s">
        <v>44</v>
      </c>
      <c r="E89" s="411">
        <v>0</v>
      </c>
      <c r="F89" s="411" t="s">
        <v>108</v>
      </c>
      <c r="G89" s="411" t="s">
        <v>45</v>
      </c>
      <c r="H89" s="411" t="s">
        <v>109</v>
      </c>
      <c r="I89" s="411" t="s">
        <v>110</v>
      </c>
      <c r="J89" s="411">
        <v>0</v>
      </c>
      <c r="K89" s="490" t="s">
        <v>108</v>
      </c>
      <c r="L89" s="429"/>
      <c r="M89" s="520"/>
      <c r="N89" s="435"/>
      <c r="O89" s="66" t="s">
        <v>302</v>
      </c>
      <c r="P89" s="48">
        <v>0</v>
      </c>
      <c r="Q89" s="48">
        <v>2</v>
      </c>
      <c r="R89" s="48">
        <v>2</v>
      </c>
      <c r="S89" s="140">
        <v>0.6</v>
      </c>
      <c r="T89" s="309" t="s">
        <v>109</v>
      </c>
      <c r="U89" s="178" t="s">
        <v>297</v>
      </c>
      <c r="V89" s="66" t="s">
        <v>194</v>
      </c>
      <c r="W89" s="86">
        <f>74800000</f>
        <v>74800000</v>
      </c>
      <c r="X89" s="169">
        <f>21000000+4800000+8050000+19200000+16800000+12950000-12959373</f>
        <v>69840627</v>
      </c>
      <c r="Y89" s="141">
        <f t="shared" si="4"/>
        <v>0.9336982219251337</v>
      </c>
      <c r="Z89" s="121" t="s">
        <v>370</v>
      </c>
      <c r="AA89" s="113" t="s">
        <v>371</v>
      </c>
      <c r="AB89" s="123" t="s">
        <v>399</v>
      </c>
      <c r="AC89" s="519" t="s">
        <v>317</v>
      </c>
    </row>
    <row r="90" spans="1:29" s="1" customFormat="1" ht="159" customHeight="1" thickBot="1">
      <c r="A90" s="339"/>
      <c r="B90" s="343"/>
      <c r="C90" s="343"/>
      <c r="D90" s="343"/>
      <c r="E90" s="412"/>
      <c r="F90" s="412"/>
      <c r="G90" s="412"/>
      <c r="H90" s="412"/>
      <c r="I90" s="412"/>
      <c r="J90" s="412"/>
      <c r="K90" s="491"/>
      <c r="L90" s="429"/>
      <c r="M90" s="520"/>
      <c r="N90" s="435"/>
      <c r="O90" s="66" t="s">
        <v>298</v>
      </c>
      <c r="P90" s="48">
        <v>0</v>
      </c>
      <c r="Q90" s="48">
        <v>4</v>
      </c>
      <c r="R90" s="48">
        <v>3</v>
      </c>
      <c r="S90" s="140">
        <v>0.6</v>
      </c>
      <c r="T90" s="309"/>
      <c r="U90" s="178" t="s">
        <v>297</v>
      </c>
      <c r="V90" s="66" t="s">
        <v>194</v>
      </c>
      <c r="W90" s="86">
        <f>74800000</f>
        <v>74800000</v>
      </c>
      <c r="X90" s="169">
        <f>11400000+10200000+13200000+7600000+5100000+6800000+8066666-12167565</f>
        <v>50199101</v>
      </c>
      <c r="Y90" s="141">
        <f t="shared" si="4"/>
        <v>0.6711109759358289</v>
      </c>
      <c r="Z90" s="121" t="s">
        <v>370</v>
      </c>
      <c r="AA90" s="113" t="s">
        <v>371</v>
      </c>
      <c r="AB90" s="123" t="s">
        <v>399</v>
      </c>
      <c r="AC90" s="519"/>
    </row>
    <row r="91" spans="1:29" s="1" customFormat="1" ht="159" customHeight="1" thickBot="1">
      <c r="A91" s="339"/>
      <c r="B91" s="343"/>
      <c r="C91" s="343"/>
      <c r="D91" s="343"/>
      <c r="E91" s="412"/>
      <c r="F91" s="412"/>
      <c r="G91" s="412"/>
      <c r="H91" s="412"/>
      <c r="I91" s="412"/>
      <c r="J91" s="412"/>
      <c r="K91" s="491"/>
      <c r="L91" s="429"/>
      <c r="M91" s="520"/>
      <c r="N91" s="435"/>
      <c r="O91" s="66" t="s">
        <v>299</v>
      </c>
      <c r="P91" s="48">
        <v>0</v>
      </c>
      <c r="Q91" s="48">
        <v>1</v>
      </c>
      <c r="R91" s="48">
        <v>0.5</v>
      </c>
      <c r="S91" s="140">
        <f t="shared" si="3"/>
        <v>0.5</v>
      </c>
      <c r="T91" s="309"/>
      <c r="U91" s="54" t="s">
        <v>297</v>
      </c>
      <c r="V91" s="47" t="s">
        <v>194</v>
      </c>
      <c r="W91" s="64">
        <f>46600000</f>
        <v>46600000</v>
      </c>
      <c r="X91" s="113">
        <v>0</v>
      </c>
      <c r="Y91" s="141">
        <f t="shared" si="4"/>
        <v>0</v>
      </c>
      <c r="Z91" s="121" t="s">
        <v>370</v>
      </c>
      <c r="AA91" s="113" t="s">
        <v>371</v>
      </c>
      <c r="AB91" s="113" t="s">
        <v>422</v>
      </c>
      <c r="AC91" s="519"/>
    </row>
    <row r="92" spans="1:29" s="1" customFormat="1" ht="159" customHeight="1" thickBot="1">
      <c r="A92" s="339"/>
      <c r="B92" s="343"/>
      <c r="C92" s="343"/>
      <c r="D92" s="343"/>
      <c r="E92" s="412"/>
      <c r="F92" s="412"/>
      <c r="G92" s="412"/>
      <c r="H92" s="412"/>
      <c r="I92" s="412"/>
      <c r="J92" s="412"/>
      <c r="K92" s="491"/>
      <c r="L92" s="429"/>
      <c r="M92" s="520"/>
      <c r="N92" s="435"/>
      <c r="O92" s="66" t="s">
        <v>300</v>
      </c>
      <c r="P92" s="48">
        <v>0</v>
      </c>
      <c r="Q92" s="48">
        <v>1</v>
      </c>
      <c r="R92" s="48">
        <v>1</v>
      </c>
      <c r="S92" s="140">
        <f t="shared" si="3"/>
        <v>1</v>
      </c>
      <c r="T92" s="309"/>
      <c r="U92" s="178" t="s">
        <v>297</v>
      </c>
      <c r="V92" s="66" t="s">
        <v>194</v>
      </c>
      <c r="W92" s="97">
        <v>50000000</v>
      </c>
      <c r="X92" s="171">
        <v>50000000</v>
      </c>
      <c r="Y92" s="141">
        <f t="shared" si="4"/>
        <v>1</v>
      </c>
      <c r="Z92" s="157" t="s">
        <v>370</v>
      </c>
      <c r="AA92" s="97" t="s">
        <v>371</v>
      </c>
      <c r="AB92" s="165" t="s">
        <v>423</v>
      </c>
      <c r="AC92" s="519"/>
    </row>
    <row r="93" spans="1:29" s="1" customFormat="1" ht="159" customHeight="1" thickBot="1">
      <c r="A93" s="339"/>
      <c r="B93" s="343"/>
      <c r="C93" s="343"/>
      <c r="D93" s="343"/>
      <c r="E93" s="412"/>
      <c r="F93" s="412"/>
      <c r="G93" s="412"/>
      <c r="H93" s="412"/>
      <c r="I93" s="412"/>
      <c r="J93" s="412"/>
      <c r="K93" s="491"/>
      <c r="L93" s="429"/>
      <c r="M93" s="520"/>
      <c r="N93" s="435"/>
      <c r="O93" s="66" t="s">
        <v>424</v>
      </c>
      <c r="P93" s="48">
        <v>0</v>
      </c>
      <c r="Q93" s="48">
        <v>1</v>
      </c>
      <c r="R93" s="48">
        <v>1</v>
      </c>
      <c r="S93" s="140">
        <v>0.25</v>
      </c>
      <c r="T93" s="309"/>
      <c r="U93" s="74" t="s">
        <v>296</v>
      </c>
      <c r="V93" s="46" t="s">
        <v>188</v>
      </c>
      <c r="W93" s="195">
        <v>71501457</v>
      </c>
      <c r="X93" s="176">
        <v>0</v>
      </c>
      <c r="Y93" s="141">
        <v>0</v>
      </c>
      <c r="Z93" s="157" t="s">
        <v>370</v>
      </c>
      <c r="AA93" s="97" t="s">
        <v>371</v>
      </c>
      <c r="AB93" s="165" t="s">
        <v>425</v>
      </c>
      <c r="AC93" s="519"/>
    </row>
    <row r="94" spans="1:29" s="1" customFormat="1" ht="159" customHeight="1" thickBot="1">
      <c r="A94" s="494"/>
      <c r="B94" s="416"/>
      <c r="C94" s="416"/>
      <c r="D94" s="416"/>
      <c r="E94" s="413"/>
      <c r="F94" s="413"/>
      <c r="G94" s="413"/>
      <c r="H94" s="413"/>
      <c r="I94" s="413"/>
      <c r="J94" s="413"/>
      <c r="K94" s="492"/>
      <c r="L94" s="429"/>
      <c r="M94" s="520"/>
      <c r="N94" s="435"/>
      <c r="O94" s="188" t="s">
        <v>301</v>
      </c>
      <c r="P94" s="48">
        <v>0</v>
      </c>
      <c r="Q94" s="48">
        <v>1</v>
      </c>
      <c r="R94" s="48">
        <v>1</v>
      </c>
      <c r="S94" s="140">
        <v>0.73</v>
      </c>
      <c r="T94" s="309"/>
      <c r="U94" s="178" t="s">
        <v>297</v>
      </c>
      <c r="V94" s="66" t="s">
        <v>194</v>
      </c>
      <c r="W94" s="97">
        <f>33000000+2200000</f>
        <v>35200000</v>
      </c>
      <c r="X94" s="176">
        <f>19200000+15633333</f>
        <v>34833333</v>
      </c>
      <c r="Y94" s="141">
        <f t="shared" si="4"/>
        <v>0.9895833238636363</v>
      </c>
      <c r="Z94" s="157" t="s">
        <v>370</v>
      </c>
      <c r="AA94" s="97" t="s">
        <v>371</v>
      </c>
      <c r="AB94" s="121" t="s">
        <v>426</v>
      </c>
      <c r="AC94" s="519"/>
    </row>
    <row r="95" spans="1:29" s="1" customFormat="1" ht="102.75" customHeight="1" thickBot="1">
      <c r="A95" s="338" t="s">
        <v>54</v>
      </c>
      <c r="B95" s="342" t="s">
        <v>42</v>
      </c>
      <c r="C95" s="342" t="s">
        <v>104</v>
      </c>
      <c r="D95" s="342" t="s">
        <v>44</v>
      </c>
      <c r="E95" s="411">
        <v>0</v>
      </c>
      <c r="F95" s="411" t="s">
        <v>111</v>
      </c>
      <c r="G95" s="411" t="s">
        <v>45</v>
      </c>
      <c r="H95" s="411" t="s">
        <v>112</v>
      </c>
      <c r="I95" s="411" t="s">
        <v>113</v>
      </c>
      <c r="J95" s="411">
        <v>0</v>
      </c>
      <c r="K95" s="490" t="s">
        <v>111</v>
      </c>
      <c r="L95" s="429"/>
      <c r="M95" s="520"/>
      <c r="N95" s="435"/>
      <c r="O95" s="66" t="s">
        <v>303</v>
      </c>
      <c r="P95" s="48">
        <v>0</v>
      </c>
      <c r="Q95" s="48">
        <v>3</v>
      </c>
      <c r="R95" s="48">
        <f>0.3</f>
        <v>0.3</v>
      </c>
      <c r="S95" s="140">
        <v>0.3</v>
      </c>
      <c r="T95" s="309" t="s">
        <v>112</v>
      </c>
      <c r="U95" s="178" t="s">
        <v>297</v>
      </c>
      <c r="V95" s="66" t="s">
        <v>194</v>
      </c>
      <c r="W95" s="97">
        <v>90709428.36999893</v>
      </c>
      <c r="X95" s="97">
        <v>0</v>
      </c>
      <c r="Y95" s="141">
        <f t="shared" si="4"/>
        <v>0</v>
      </c>
      <c r="Z95" s="157" t="s">
        <v>370</v>
      </c>
      <c r="AA95" s="97" t="s">
        <v>371</v>
      </c>
      <c r="AB95" s="124" t="s">
        <v>427</v>
      </c>
      <c r="AC95" s="519" t="s">
        <v>317</v>
      </c>
    </row>
    <row r="96" spans="1:29" s="1" customFormat="1" ht="178.5" customHeight="1" thickBot="1">
      <c r="A96" s="494"/>
      <c r="B96" s="416"/>
      <c r="C96" s="416"/>
      <c r="D96" s="416"/>
      <c r="E96" s="413"/>
      <c r="F96" s="413"/>
      <c r="G96" s="413"/>
      <c r="H96" s="413"/>
      <c r="I96" s="413"/>
      <c r="J96" s="413"/>
      <c r="K96" s="492"/>
      <c r="L96" s="429"/>
      <c r="M96" s="520"/>
      <c r="N96" s="435"/>
      <c r="O96" s="188" t="s">
        <v>350</v>
      </c>
      <c r="P96" s="48">
        <v>0</v>
      </c>
      <c r="Q96" s="48">
        <v>2</v>
      </c>
      <c r="R96" s="48">
        <v>2</v>
      </c>
      <c r="S96" s="140">
        <v>0.73</v>
      </c>
      <c r="T96" s="309"/>
      <c r="U96" s="178" t="s">
        <v>297</v>
      </c>
      <c r="V96" s="66" t="s">
        <v>194</v>
      </c>
      <c r="W96" s="97">
        <f>61600000</f>
        <v>61600000</v>
      </c>
      <c r="X96" s="171">
        <f>42000000+16800000</f>
        <v>58800000</v>
      </c>
      <c r="Y96" s="141">
        <f t="shared" si="4"/>
        <v>0.9545454545454546</v>
      </c>
      <c r="Z96" s="157" t="s">
        <v>370</v>
      </c>
      <c r="AA96" s="97" t="s">
        <v>371</v>
      </c>
      <c r="AB96" s="113" t="s">
        <v>426</v>
      </c>
      <c r="AC96" s="519"/>
    </row>
    <row r="97" spans="1:29" s="65" customFormat="1" ht="122.25" customHeight="1" thickBot="1">
      <c r="A97" s="29" t="s">
        <v>54</v>
      </c>
      <c r="B97" s="68" t="s">
        <v>42</v>
      </c>
      <c r="C97" s="49" t="s">
        <v>104</v>
      </c>
      <c r="D97" s="69" t="s">
        <v>44</v>
      </c>
      <c r="E97" s="67">
        <v>0</v>
      </c>
      <c r="F97" s="67" t="s">
        <v>114</v>
      </c>
      <c r="G97" s="50" t="s">
        <v>45</v>
      </c>
      <c r="H97" s="50" t="s">
        <v>115</v>
      </c>
      <c r="I97" s="50" t="s">
        <v>116</v>
      </c>
      <c r="J97" s="70">
        <v>0</v>
      </c>
      <c r="K97" s="71" t="s">
        <v>114</v>
      </c>
      <c r="L97" s="429"/>
      <c r="M97" s="520"/>
      <c r="N97" s="435"/>
      <c r="O97" s="47" t="s">
        <v>302</v>
      </c>
      <c r="P97" s="79">
        <v>0</v>
      </c>
      <c r="Q97" s="48" t="s">
        <v>218</v>
      </c>
      <c r="R97" s="48"/>
      <c r="S97" s="140" t="e">
        <f t="shared" si="3"/>
        <v>#VALUE!</v>
      </c>
      <c r="T97" s="50" t="s">
        <v>115</v>
      </c>
      <c r="U97" s="79" t="s">
        <v>218</v>
      </c>
      <c r="V97" s="79" t="s">
        <v>218</v>
      </c>
      <c r="W97" s="89">
        <v>0</v>
      </c>
      <c r="X97" s="125"/>
      <c r="Y97" s="141" t="e">
        <f t="shared" si="4"/>
        <v>#DIV/0!</v>
      </c>
      <c r="Z97" s="125"/>
      <c r="AA97" s="125"/>
      <c r="AB97" s="125"/>
      <c r="AC97" s="98" t="s">
        <v>317</v>
      </c>
    </row>
    <row r="98" spans="1:29" s="1" customFormat="1" ht="162" customHeight="1" thickBot="1">
      <c r="A98" s="29" t="s">
        <v>54</v>
      </c>
      <c r="B98" s="24" t="s">
        <v>42</v>
      </c>
      <c r="C98" s="33" t="s">
        <v>104</v>
      </c>
      <c r="D98" s="26" t="s">
        <v>44</v>
      </c>
      <c r="E98" s="25">
        <v>0</v>
      </c>
      <c r="F98" s="25" t="s">
        <v>108</v>
      </c>
      <c r="G98" s="27" t="s">
        <v>45</v>
      </c>
      <c r="H98" s="50" t="s">
        <v>117</v>
      </c>
      <c r="I98" s="50" t="s">
        <v>118</v>
      </c>
      <c r="J98" s="32">
        <v>0</v>
      </c>
      <c r="K98" s="43" t="s">
        <v>108</v>
      </c>
      <c r="L98" s="429"/>
      <c r="M98" s="520"/>
      <c r="N98" s="435"/>
      <c r="O98" s="47" t="s">
        <v>302</v>
      </c>
      <c r="P98" s="79">
        <v>0</v>
      </c>
      <c r="Q98" s="48" t="s">
        <v>218</v>
      </c>
      <c r="R98" s="48"/>
      <c r="S98" s="140" t="e">
        <f t="shared" si="3"/>
        <v>#VALUE!</v>
      </c>
      <c r="T98" s="27" t="s">
        <v>117</v>
      </c>
      <c r="U98" s="79" t="s">
        <v>218</v>
      </c>
      <c r="V98" s="79" t="s">
        <v>218</v>
      </c>
      <c r="W98" s="64">
        <v>0</v>
      </c>
      <c r="X98" s="113"/>
      <c r="Y98" s="141" t="e">
        <f t="shared" si="4"/>
        <v>#DIV/0!</v>
      </c>
      <c r="Z98" s="113"/>
      <c r="AA98" s="113"/>
      <c r="AB98" s="113"/>
      <c r="AC98" s="98" t="s">
        <v>317</v>
      </c>
    </row>
    <row r="99" spans="1:29" s="1" customFormat="1" ht="129.75" customHeight="1" thickBot="1">
      <c r="A99" s="338" t="s">
        <v>54</v>
      </c>
      <c r="B99" s="342" t="s">
        <v>42</v>
      </c>
      <c r="C99" s="342" t="s">
        <v>104</v>
      </c>
      <c r="D99" s="342" t="s">
        <v>44</v>
      </c>
      <c r="E99" s="411">
        <v>0</v>
      </c>
      <c r="F99" s="411" t="s">
        <v>111</v>
      </c>
      <c r="G99" s="411" t="s">
        <v>119</v>
      </c>
      <c r="H99" s="516" t="s">
        <v>120</v>
      </c>
      <c r="I99" s="411" t="s">
        <v>120</v>
      </c>
      <c r="J99" s="411">
        <v>0</v>
      </c>
      <c r="K99" s="490" t="s">
        <v>111</v>
      </c>
      <c r="L99" s="429"/>
      <c r="M99" s="520"/>
      <c r="N99" s="435"/>
      <c r="O99" s="66" t="s">
        <v>304</v>
      </c>
      <c r="P99" s="48">
        <v>0</v>
      </c>
      <c r="Q99" s="48">
        <v>2</v>
      </c>
      <c r="R99" s="48">
        <v>2</v>
      </c>
      <c r="S99" s="140">
        <v>0.73</v>
      </c>
      <c r="T99" s="309" t="s">
        <v>120</v>
      </c>
      <c r="U99" s="178" t="s">
        <v>308</v>
      </c>
      <c r="V99" s="66" t="s">
        <v>194</v>
      </c>
      <c r="W99" s="97">
        <f>51000000</f>
        <v>51000000</v>
      </c>
      <c r="X99" s="171">
        <f>14000000+11700000+9333333</f>
        <v>35033333</v>
      </c>
      <c r="Y99" s="141">
        <f t="shared" si="4"/>
        <v>0.6869280980392157</v>
      </c>
      <c r="Z99" s="157" t="s">
        <v>370</v>
      </c>
      <c r="AA99" s="97" t="s">
        <v>371</v>
      </c>
      <c r="AB99" s="121" t="s">
        <v>429</v>
      </c>
      <c r="AC99" s="519" t="s">
        <v>317</v>
      </c>
    </row>
    <row r="100" spans="1:29" s="1" customFormat="1" ht="129.75" customHeight="1" thickBot="1">
      <c r="A100" s="339"/>
      <c r="B100" s="343"/>
      <c r="C100" s="343"/>
      <c r="D100" s="343"/>
      <c r="E100" s="412"/>
      <c r="F100" s="412"/>
      <c r="G100" s="412"/>
      <c r="H100" s="517"/>
      <c r="I100" s="412"/>
      <c r="J100" s="412"/>
      <c r="K100" s="491"/>
      <c r="L100" s="429"/>
      <c r="M100" s="520"/>
      <c r="N100" s="435"/>
      <c r="O100" s="47" t="s">
        <v>305</v>
      </c>
      <c r="P100" s="77">
        <v>0</v>
      </c>
      <c r="Q100" s="48">
        <v>1</v>
      </c>
      <c r="R100" s="48">
        <v>1</v>
      </c>
      <c r="S100" s="140">
        <f t="shared" si="3"/>
        <v>1</v>
      </c>
      <c r="T100" s="309"/>
      <c r="U100" s="54" t="s">
        <v>308</v>
      </c>
      <c r="V100" s="47" t="s">
        <v>194</v>
      </c>
      <c r="W100" s="64">
        <v>15400000</v>
      </c>
      <c r="X100" s="113">
        <v>15400000</v>
      </c>
      <c r="Y100" s="141">
        <f t="shared" si="4"/>
        <v>1</v>
      </c>
      <c r="Z100" s="157" t="s">
        <v>370</v>
      </c>
      <c r="AA100" s="97" t="s">
        <v>371</v>
      </c>
      <c r="AB100" s="121" t="s">
        <v>428</v>
      </c>
      <c r="AC100" s="519"/>
    </row>
    <row r="101" spans="1:29" s="1" customFormat="1" ht="129.75" customHeight="1" thickBot="1">
      <c r="A101" s="339"/>
      <c r="B101" s="343"/>
      <c r="C101" s="343"/>
      <c r="D101" s="343"/>
      <c r="E101" s="412"/>
      <c r="F101" s="412"/>
      <c r="G101" s="412"/>
      <c r="H101" s="517"/>
      <c r="I101" s="412"/>
      <c r="J101" s="412"/>
      <c r="K101" s="491"/>
      <c r="L101" s="429"/>
      <c r="M101" s="520"/>
      <c r="N101" s="435"/>
      <c r="O101" s="66" t="s">
        <v>306</v>
      </c>
      <c r="P101" s="48">
        <v>0</v>
      </c>
      <c r="Q101" s="48">
        <v>4</v>
      </c>
      <c r="R101" s="48">
        <v>0</v>
      </c>
      <c r="S101" s="140">
        <f t="shared" si="3"/>
        <v>0</v>
      </c>
      <c r="T101" s="309"/>
      <c r="U101" s="178" t="s">
        <v>308</v>
      </c>
      <c r="V101" s="66" t="s">
        <v>194</v>
      </c>
      <c r="W101" s="97">
        <v>178600000</v>
      </c>
      <c r="X101" s="171">
        <v>0</v>
      </c>
      <c r="Y101" s="141">
        <f t="shared" si="4"/>
        <v>0</v>
      </c>
      <c r="Z101" s="157" t="s">
        <v>370</v>
      </c>
      <c r="AA101" s="97" t="s">
        <v>371</v>
      </c>
      <c r="AB101" s="121" t="s">
        <v>430</v>
      </c>
      <c r="AC101" s="519"/>
    </row>
    <row r="102" spans="1:29" s="1" customFormat="1" ht="129.75" customHeight="1" thickBot="1">
      <c r="A102" s="494"/>
      <c r="B102" s="416"/>
      <c r="C102" s="416"/>
      <c r="D102" s="416"/>
      <c r="E102" s="413"/>
      <c r="F102" s="413"/>
      <c r="G102" s="413"/>
      <c r="H102" s="518"/>
      <c r="I102" s="413"/>
      <c r="J102" s="413"/>
      <c r="K102" s="492"/>
      <c r="L102" s="429"/>
      <c r="M102" s="520"/>
      <c r="N102" s="435"/>
      <c r="O102" s="66" t="s">
        <v>307</v>
      </c>
      <c r="P102" s="48">
        <v>0</v>
      </c>
      <c r="Q102" s="48">
        <v>1</v>
      </c>
      <c r="R102" s="48">
        <v>0</v>
      </c>
      <c r="S102" s="140">
        <f t="shared" si="3"/>
        <v>0</v>
      </c>
      <c r="T102" s="309"/>
      <c r="U102" s="54" t="s">
        <v>308</v>
      </c>
      <c r="V102" s="47" t="s">
        <v>194</v>
      </c>
      <c r="W102" s="64">
        <v>30000000</v>
      </c>
      <c r="X102" s="113">
        <v>0</v>
      </c>
      <c r="Y102" s="141">
        <f t="shared" si="4"/>
        <v>0</v>
      </c>
      <c r="Z102" s="157" t="s">
        <v>370</v>
      </c>
      <c r="AA102" s="97" t="s">
        <v>371</v>
      </c>
      <c r="AB102" s="121" t="s">
        <v>431</v>
      </c>
      <c r="AC102" s="519"/>
    </row>
    <row r="103" spans="1:29" s="1" customFormat="1" ht="190.5" customHeight="1" thickBot="1">
      <c r="A103" s="34" t="s">
        <v>54</v>
      </c>
      <c r="B103" s="35" t="s">
        <v>42</v>
      </c>
      <c r="C103" s="33" t="s">
        <v>104</v>
      </c>
      <c r="D103" s="36" t="s">
        <v>121</v>
      </c>
      <c r="E103" s="25">
        <v>0</v>
      </c>
      <c r="F103" s="25">
        <v>2</v>
      </c>
      <c r="G103" s="27" t="s">
        <v>122</v>
      </c>
      <c r="H103" s="27" t="s">
        <v>123</v>
      </c>
      <c r="I103" s="27" t="s">
        <v>124</v>
      </c>
      <c r="J103" s="28">
        <v>0</v>
      </c>
      <c r="K103" s="43">
        <v>2</v>
      </c>
      <c r="L103" s="92">
        <v>2020630010170</v>
      </c>
      <c r="M103" s="46" t="s">
        <v>337</v>
      </c>
      <c r="N103" s="46" t="s">
        <v>338</v>
      </c>
      <c r="O103" s="46" t="s">
        <v>351</v>
      </c>
      <c r="P103" s="48">
        <v>0</v>
      </c>
      <c r="Q103" s="48" t="s">
        <v>218</v>
      </c>
      <c r="R103" s="48"/>
      <c r="S103" s="140" t="e">
        <f t="shared" si="3"/>
        <v>#VALUE!</v>
      </c>
      <c r="T103" s="27" t="s">
        <v>189</v>
      </c>
      <c r="U103" s="79" t="s">
        <v>218</v>
      </c>
      <c r="V103" s="79" t="s">
        <v>218</v>
      </c>
      <c r="W103" s="64">
        <v>0</v>
      </c>
      <c r="X103" s="113"/>
      <c r="Y103" s="141" t="e">
        <f t="shared" si="4"/>
        <v>#DIV/0!</v>
      </c>
      <c r="Z103" s="113"/>
      <c r="AA103" s="113"/>
      <c r="AB103" s="113"/>
      <c r="AC103" s="98" t="s">
        <v>317</v>
      </c>
    </row>
    <row r="104" spans="1:29" s="1" customFormat="1" ht="153" customHeight="1" thickBot="1">
      <c r="A104" s="338" t="s">
        <v>54</v>
      </c>
      <c r="B104" s="342" t="s">
        <v>125</v>
      </c>
      <c r="C104" s="342" t="s">
        <v>126</v>
      </c>
      <c r="D104" s="342" t="s">
        <v>127</v>
      </c>
      <c r="E104" s="411">
        <v>0</v>
      </c>
      <c r="F104" s="411" t="s">
        <v>128</v>
      </c>
      <c r="G104" s="411" t="s">
        <v>119</v>
      </c>
      <c r="H104" s="411" t="s">
        <v>129</v>
      </c>
      <c r="I104" s="411" t="s">
        <v>130</v>
      </c>
      <c r="J104" s="411">
        <v>0</v>
      </c>
      <c r="K104" s="490" t="s">
        <v>128</v>
      </c>
      <c r="L104" s="526">
        <v>2020630010116</v>
      </c>
      <c r="M104" s="527" t="s">
        <v>217</v>
      </c>
      <c r="N104" s="528" t="s">
        <v>339</v>
      </c>
      <c r="O104" s="66" t="s">
        <v>309</v>
      </c>
      <c r="P104" s="48">
        <v>0</v>
      </c>
      <c r="Q104" s="48">
        <v>7</v>
      </c>
      <c r="R104" s="48">
        <v>0.3</v>
      </c>
      <c r="S104" s="140">
        <v>0.3</v>
      </c>
      <c r="T104" s="309" t="s">
        <v>129</v>
      </c>
      <c r="U104" s="72" t="s">
        <v>313</v>
      </c>
      <c r="V104" s="66" t="s">
        <v>194</v>
      </c>
      <c r="W104" s="97">
        <v>120000000</v>
      </c>
      <c r="X104" s="171">
        <v>0</v>
      </c>
      <c r="Y104" s="141">
        <f t="shared" si="4"/>
        <v>0</v>
      </c>
      <c r="Z104" s="157" t="s">
        <v>370</v>
      </c>
      <c r="AA104" s="97" t="s">
        <v>371</v>
      </c>
      <c r="AB104" s="121" t="s">
        <v>432</v>
      </c>
      <c r="AC104" s="519" t="s">
        <v>317</v>
      </c>
    </row>
    <row r="105" spans="1:29" s="1" customFormat="1" ht="153" customHeight="1" thickBot="1">
      <c r="A105" s="494"/>
      <c r="B105" s="416"/>
      <c r="C105" s="416"/>
      <c r="D105" s="416"/>
      <c r="E105" s="413"/>
      <c r="F105" s="413"/>
      <c r="G105" s="413"/>
      <c r="H105" s="413"/>
      <c r="I105" s="413"/>
      <c r="J105" s="413"/>
      <c r="K105" s="492"/>
      <c r="L105" s="526"/>
      <c r="M105" s="527"/>
      <c r="N105" s="529"/>
      <c r="O105" s="66" t="s">
        <v>310</v>
      </c>
      <c r="P105" s="48">
        <v>0</v>
      </c>
      <c r="Q105" s="48">
        <v>2</v>
      </c>
      <c r="R105" s="48">
        <v>2</v>
      </c>
      <c r="S105" s="140">
        <v>0.73</v>
      </c>
      <c r="T105" s="309"/>
      <c r="U105" s="72" t="s">
        <v>313</v>
      </c>
      <c r="V105" s="66" t="s">
        <v>194</v>
      </c>
      <c r="W105" s="97">
        <v>30000000</v>
      </c>
      <c r="X105" s="171">
        <f>11200000+11200000</f>
        <v>22400000</v>
      </c>
      <c r="Y105" s="141">
        <f t="shared" si="4"/>
        <v>0.7466666666666667</v>
      </c>
      <c r="Z105" s="157" t="s">
        <v>370</v>
      </c>
      <c r="AA105" s="97" t="s">
        <v>371</v>
      </c>
      <c r="AB105" s="113" t="s">
        <v>429</v>
      </c>
      <c r="AC105" s="519"/>
    </row>
    <row r="106" spans="1:29" s="1" customFormat="1" ht="153" customHeight="1" thickBot="1">
      <c r="A106" s="338" t="s">
        <v>54</v>
      </c>
      <c r="B106" s="342" t="s">
        <v>125</v>
      </c>
      <c r="C106" s="342" t="s">
        <v>126</v>
      </c>
      <c r="D106" s="342" t="s">
        <v>127</v>
      </c>
      <c r="E106" s="411">
        <v>0</v>
      </c>
      <c r="F106" s="411" t="s">
        <v>131</v>
      </c>
      <c r="G106" s="411" t="s">
        <v>132</v>
      </c>
      <c r="H106" s="411" t="s">
        <v>133</v>
      </c>
      <c r="I106" s="411" t="s">
        <v>134</v>
      </c>
      <c r="J106" s="411">
        <v>0</v>
      </c>
      <c r="K106" s="490" t="s">
        <v>131</v>
      </c>
      <c r="L106" s="526"/>
      <c r="M106" s="527"/>
      <c r="N106" s="529"/>
      <c r="O106" s="90" t="s">
        <v>311</v>
      </c>
      <c r="P106" s="77">
        <v>0</v>
      </c>
      <c r="Q106" s="48">
        <v>0</v>
      </c>
      <c r="R106" s="48">
        <v>0</v>
      </c>
      <c r="S106" s="140">
        <v>0</v>
      </c>
      <c r="T106" s="309" t="s">
        <v>133</v>
      </c>
      <c r="U106" s="51" t="s">
        <v>314</v>
      </c>
      <c r="V106" s="47" t="s">
        <v>194</v>
      </c>
      <c r="W106" s="64">
        <v>0</v>
      </c>
      <c r="X106" s="113"/>
      <c r="Y106" s="141" t="e">
        <f t="shared" si="4"/>
        <v>#DIV/0!</v>
      </c>
      <c r="Z106" s="113"/>
      <c r="AA106" s="113"/>
      <c r="AB106" s="113"/>
      <c r="AC106" s="519" t="s">
        <v>317</v>
      </c>
    </row>
    <row r="107" spans="1:29" s="1" customFormat="1" ht="153" customHeight="1" thickBot="1">
      <c r="A107" s="494"/>
      <c r="B107" s="416"/>
      <c r="C107" s="416"/>
      <c r="D107" s="416"/>
      <c r="E107" s="413"/>
      <c r="F107" s="413"/>
      <c r="G107" s="413"/>
      <c r="H107" s="413"/>
      <c r="I107" s="413"/>
      <c r="J107" s="413"/>
      <c r="K107" s="492"/>
      <c r="L107" s="526"/>
      <c r="M107" s="527"/>
      <c r="N107" s="529"/>
      <c r="O107" s="47" t="s">
        <v>312</v>
      </c>
      <c r="P107" s="51">
        <v>0</v>
      </c>
      <c r="Q107" s="72">
        <v>2</v>
      </c>
      <c r="R107" s="72"/>
      <c r="S107" s="140">
        <f t="shared" si="3"/>
        <v>0</v>
      </c>
      <c r="T107" s="309"/>
      <c r="U107" s="51">
        <v>0</v>
      </c>
      <c r="V107" s="47">
        <v>0</v>
      </c>
      <c r="W107" s="64">
        <v>0</v>
      </c>
      <c r="X107" s="113">
        <v>0</v>
      </c>
      <c r="Y107" s="141" t="e">
        <f t="shared" si="4"/>
        <v>#DIV/0!</v>
      </c>
      <c r="Z107" s="113"/>
      <c r="AA107" s="113"/>
      <c r="AB107" s="113"/>
      <c r="AC107" s="519"/>
    </row>
    <row r="108" spans="1:29" s="1" customFormat="1" ht="67.5" customHeight="1" thickBot="1">
      <c r="A108" s="34" t="s">
        <v>54</v>
      </c>
      <c r="B108" s="35" t="s">
        <v>125</v>
      </c>
      <c r="C108" s="33" t="s">
        <v>126</v>
      </c>
      <c r="D108" s="27" t="s">
        <v>127</v>
      </c>
      <c r="E108" s="25">
        <v>0</v>
      </c>
      <c r="F108" s="25">
        <v>1</v>
      </c>
      <c r="G108" s="27" t="s">
        <v>135</v>
      </c>
      <c r="H108" s="27" t="s">
        <v>136</v>
      </c>
      <c r="I108" s="27" t="s">
        <v>137</v>
      </c>
      <c r="J108" s="28">
        <v>0</v>
      </c>
      <c r="K108" s="43">
        <v>1</v>
      </c>
      <c r="L108" s="92">
        <v>2020630010105</v>
      </c>
      <c r="M108" s="46" t="s">
        <v>335</v>
      </c>
      <c r="N108" s="46" t="s">
        <v>336</v>
      </c>
      <c r="O108" s="46" t="s">
        <v>343</v>
      </c>
      <c r="P108" s="79">
        <v>0</v>
      </c>
      <c r="Q108" s="48" t="s">
        <v>218</v>
      </c>
      <c r="R108" s="48"/>
      <c r="S108" s="140" t="e">
        <f t="shared" si="3"/>
        <v>#VALUE!</v>
      </c>
      <c r="T108" s="27" t="s">
        <v>214</v>
      </c>
      <c r="U108" s="79" t="s">
        <v>218</v>
      </c>
      <c r="V108" s="79" t="s">
        <v>218</v>
      </c>
      <c r="W108" s="64">
        <v>0</v>
      </c>
      <c r="X108" s="113"/>
      <c r="Y108" s="141" t="e">
        <f t="shared" si="4"/>
        <v>#DIV/0!</v>
      </c>
      <c r="Z108" s="113"/>
      <c r="AA108" s="113"/>
      <c r="AB108" s="113"/>
      <c r="AC108" s="98" t="s">
        <v>317</v>
      </c>
    </row>
    <row r="109" spans="1:29" s="1" customFormat="1" ht="67.5" customHeight="1" thickBot="1">
      <c r="A109" s="34" t="s">
        <v>54</v>
      </c>
      <c r="B109" s="24" t="s">
        <v>88</v>
      </c>
      <c r="C109" s="25" t="s">
        <v>138</v>
      </c>
      <c r="D109" s="26" t="s">
        <v>139</v>
      </c>
      <c r="E109" s="25">
        <v>1</v>
      </c>
      <c r="F109" s="25">
        <v>1</v>
      </c>
      <c r="G109" s="27" t="s">
        <v>140</v>
      </c>
      <c r="H109" s="27" t="s">
        <v>141</v>
      </c>
      <c r="I109" s="27" t="s">
        <v>142</v>
      </c>
      <c r="J109" s="28">
        <v>1</v>
      </c>
      <c r="K109" s="43">
        <v>1</v>
      </c>
      <c r="L109" s="94">
        <v>2020630010108</v>
      </c>
      <c r="M109" s="47" t="s">
        <v>171</v>
      </c>
      <c r="N109" s="47" t="s">
        <v>205</v>
      </c>
      <c r="O109" s="53" t="s">
        <v>186</v>
      </c>
      <c r="P109" s="72">
        <v>0</v>
      </c>
      <c r="Q109" s="72">
        <v>1</v>
      </c>
      <c r="R109" s="72">
        <v>100</v>
      </c>
      <c r="S109" s="140">
        <v>1</v>
      </c>
      <c r="T109" s="27" t="s">
        <v>142</v>
      </c>
      <c r="U109" s="72" t="s">
        <v>187</v>
      </c>
      <c r="V109" s="66" t="s">
        <v>188</v>
      </c>
      <c r="W109" s="97">
        <v>57000000</v>
      </c>
      <c r="X109" s="171">
        <v>42752435</v>
      </c>
      <c r="Y109" s="141">
        <f t="shared" si="4"/>
        <v>0.7500427192982456</v>
      </c>
      <c r="Z109" s="157" t="s">
        <v>370</v>
      </c>
      <c r="AA109" s="97" t="s">
        <v>371</v>
      </c>
      <c r="AB109" s="121" t="s">
        <v>394</v>
      </c>
      <c r="AC109" s="98" t="s">
        <v>317</v>
      </c>
    </row>
    <row r="110" spans="1:29" s="1" customFormat="1" ht="105.75" customHeight="1" thickBot="1">
      <c r="A110" s="37" t="s">
        <v>143</v>
      </c>
      <c r="B110" s="35" t="s">
        <v>140</v>
      </c>
      <c r="C110" s="25" t="s">
        <v>144</v>
      </c>
      <c r="D110" s="38" t="s">
        <v>121</v>
      </c>
      <c r="E110" s="25">
        <v>3</v>
      </c>
      <c r="F110" s="25">
        <v>4</v>
      </c>
      <c r="G110" s="27" t="s">
        <v>122</v>
      </c>
      <c r="H110" s="27" t="s">
        <v>123</v>
      </c>
      <c r="I110" s="27" t="s">
        <v>145</v>
      </c>
      <c r="J110" s="28">
        <v>3</v>
      </c>
      <c r="K110" s="43">
        <v>4</v>
      </c>
      <c r="L110" s="94">
        <v>2020630010168</v>
      </c>
      <c r="M110" s="47" t="s">
        <v>169</v>
      </c>
      <c r="N110" s="47" t="s">
        <v>170</v>
      </c>
      <c r="O110" s="47" t="s">
        <v>203</v>
      </c>
      <c r="P110" s="51">
        <v>0</v>
      </c>
      <c r="Q110" s="72">
        <v>1</v>
      </c>
      <c r="R110" s="72">
        <v>1</v>
      </c>
      <c r="S110" s="140">
        <v>0.5</v>
      </c>
      <c r="T110" s="302" t="s">
        <v>123</v>
      </c>
      <c r="U110" s="188" t="s">
        <v>190</v>
      </c>
      <c r="V110" s="66" t="s">
        <v>191</v>
      </c>
      <c r="W110" s="97">
        <f>484019421-339102848.25</f>
        <v>144916572.75</v>
      </c>
      <c r="X110" s="171">
        <v>0</v>
      </c>
      <c r="Y110" s="141">
        <f t="shared" si="4"/>
        <v>0</v>
      </c>
      <c r="Z110" s="157" t="s">
        <v>370</v>
      </c>
      <c r="AA110" s="97" t="s">
        <v>371</v>
      </c>
      <c r="AB110" s="121" t="s">
        <v>433</v>
      </c>
      <c r="AC110" s="304" t="s">
        <v>317</v>
      </c>
    </row>
    <row r="111" spans="1:29" s="1" customFormat="1" ht="105.75" customHeight="1" thickBot="1">
      <c r="A111" s="37"/>
      <c r="B111" s="35"/>
      <c r="C111" s="149"/>
      <c r="D111" s="38"/>
      <c r="E111" s="149"/>
      <c r="F111" s="149"/>
      <c r="G111" s="27"/>
      <c r="H111" s="27"/>
      <c r="I111" s="27"/>
      <c r="J111" s="28"/>
      <c r="K111" s="43"/>
      <c r="L111" s="94"/>
      <c r="M111" s="47"/>
      <c r="N111" s="47"/>
      <c r="O111" s="196" t="s">
        <v>434</v>
      </c>
      <c r="P111" s="72">
        <v>0</v>
      </c>
      <c r="Q111" s="72">
        <v>1</v>
      </c>
      <c r="R111" s="72">
        <v>0</v>
      </c>
      <c r="S111" s="140">
        <v>0</v>
      </c>
      <c r="T111" s="303"/>
      <c r="U111" s="188" t="s">
        <v>435</v>
      </c>
      <c r="V111" s="188" t="s">
        <v>239</v>
      </c>
      <c r="W111" s="97">
        <v>476420191</v>
      </c>
      <c r="X111" s="171">
        <v>0</v>
      </c>
      <c r="Y111" s="141">
        <v>0</v>
      </c>
      <c r="Z111" s="157" t="s">
        <v>370</v>
      </c>
      <c r="AA111" s="97" t="s">
        <v>371</v>
      </c>
      <c r="AB111" s="121" t="s">
        <v>436</v>
      </c>
      <c r="AC111" s="305"/>
    </row>
    <row r="112" spans="1:29" s="1" customFormat="1" ht="45" customHeight="1" thickBot="1">
      <c r="A112" s="37" t="s">
        <v>143</v>
      </c>
      <c r="B112" s="24" t="s">
        <v>63</v>
      </c>
      <c r="C112" s="25" t="s">
        <v>64</v>
      </c>
      <c r="D112" s="26" t="s">
        <v>65</v>
      </c>
      <c r="E112" s="25">
        <v>1</v>
      </c>
      <c r="F112" s="25">
        <v>1</v>
      </c>
      <c r="G112" s="27" t="s">
        <v>66</v>
      </c>
      <c r="H112" s="27" t="s">
        <v>146</v>
      </c>
      <c r="I112" s="27" t="s">
        <v>146</v>
      </c>
      <c r="J112" s="28">
        <v>1</v>
      </c>
      <c r="K112" s="43">
        <v>1</v>
      </c>
      <c r="L112" s="429">
        <v>2020630010139</v>
      </c>
      <c r="M112" s="346" t="s">
        <v>333</v>
      </c>
      <c r="N112" s="346" t="s">
        <v>334</v>
      </c>
      <c r="O112" s="26" t="s">
        <v>204</v>
      </c>
      <c r="P112" s="51">
        <v>0</v>
      </c>
      <c r="Q112" s="76">
        <v>2</v>
      </c>
      <c r="R112" s="76">
        <v>2</v>
      </c>
      <c r="S112" s="140">
        <v>0.5</v>
      </c>
      <c r="T112" s="27" t="s">
        <v>192</v>
      </c>
      <c r="U112" s="47" t="s">
        <v>193</v>
      </c>
      <c r="V112" s="47" t="s">
        <v>194</v>
      </c>
      <c r="W112" s="64">
        <v>100000000</v>
      </c>
      <c r="X112" s="113">
        <v>0</v>
      </c>
      <c r="Y112" s="141">
        <f t="shared" si="4"/>
        <v>0</v>
      </c>
      <c r="Z112" s="157" t="s">
        <v>370</v>
      </c>
      <c r="AA112" s="97" t="s">
        <v>371</v>
      </c>
      <c r="AB112" s="121" t="s">
        <v>437</v>
      </c>
      <c r="AC112" s="98" t="s">
        <v>317</v>
      </c>
    </row>
    <row r="113" spans="1:29" s="1" customFormat="1" ht="59.25" customHeight="1" thickBot="1">
      <c r="A113" s="37" t="s">
        <v>143</v>
      </c>
      <c r="B113" s="24" t="s">
        <v>63</v>
      </c>
      <c r="C113" s="25" t="s">
        <v>64</v>
      </c>
      <c r="D113" s="26" t="s">
        <v>65</v>
      </c>
      <c r="E113" s="25">
        <v>1</v>
      </c>
      <c r="F113" s="25">
        <v>2</v>
      </c>
      <c r="G113" s="27" t="s">
        <v>66</v>
      </c>
      <c r="H113" s="27" t="s">
        <v>147</v>
      </c>
      <c r="I113" s="27" t="s">
        <v>148</v>
      </c>
      <c r="J113" s="28">
        <v>1</v>
      </c>
      <c r="K113" s="43">
        <v>2</v>
      </c>
      <c r="L113" s="429"/>
      <c r="M113" s="346"/>
      <c r="N113" s="346"/>
      <c r="O113" s="46" t="s">
        <v>340</v>
      </c>
      <c r="P113" s="48">
        <v>1</v>
      </c>
      <c r="Q113" s="48" t="s">
        <v>218</v>
      </c>
      <c r="R113" s="48"/>
      <c r="S113" s="140" t="e">
        <f t="shared" si="3"/>
        <v>#VALUE!</v>
      </c>
      <c r="T113" s="27" t="s">
        <v>147</v>
      </c>
      <c r="U113" s="79" t="s">
        <v>218</v>
      </c>
      <c r="V113" s="79" t="s">
        <v>218</v>
      </c>
      <c r="W113" s="64">
        <v>0</v>
      </c>
      <c r="X113" s="113"/>
      <c r="Y113" s="141" t="e">
        <f t="shared" si="4"/>
        <v>#DIV/0!</v>
      </c>
      <c r="Z113" s="113"/>
      <c r="AA113" s="113"/>
      <c r="AB113" s="113"/>
      <c r="AC113" s="98" t="s">
        <v>317</v>
      </c>
    </row>
    <row r="114" spans="1:29" s="1" customFormat="1" ht="67.5" customHeight="1" thickBot="1">
      <c r="A114" s="39" t="s">
        <v>143</v>
      </c>
      <c r="B114" s="24" t="s">
        <v>88</v>
      </c>
      <c r="C114" s="25" t="s">
        <v>89</v>
      </c>
      <c r="D114" s="26" t="s">
        <v>139</v>
      </c>
      <c r="E114" s="25">
        <v>0</v>
      </c>
      <c r="F114" s="25">
        <v>5</v>
      </c>
      <c r="G114" s="27" t="s">
        <v>140</v>
      </c>
      <c r="H114" s="27" t="s">
        <v>149</v>
      </c>
      <c r="I114" s="27" t="s">
        <v>150</v>
      </c>
      <c r="J114" s="28">
        <v>0</v>
      </c>
      <c r="K114" s="43">
        <v>5</v>
      </c>
      <c r="L114" s="94">
        <v>2020630010118</v>
      </c>
      <c r="M114" s="46" t="s">
        <v>206</v>
      </c>
      <c r="N114" s="46" t="s">
        <v>207</v>
      </c>
      <c r="O114" s="26" t="s">
        <v>208</v>
      </c>
      <c r="P114" s="51">
        <v>1</v>
      </c>
      <c r="Q114" s="72">
        <v>1</v>
      </c>
      <c r="R114" s="72">
        <v>1</v>
      </c>
      <c r="S114" s="140">
        <v>0.005</v>
      </c>
      <c r="T114" s="57" t="s">
        <v>149</v>
      </c>
      <c r="U114" s="47" t="s">
        <v>209</v>
      </c>
      <c r="V114" s="47" t="s">
        <v>188</v>
      </c>
      <c r="W114" s="64">
        <v>100000000</v>
      </c>
      <c r="X114" s="113">
        <v>0</v>
      </c>
      <c r="Y114" s="141">
        <f t="shared" si="4"/>
        <v>0</v>
      </c>
      <c r="Z114" s="197" t="s">
        <v>370</v>
      </c>
      <c r="AA114" s="84" t="s">
        <v>371</v>
      </c>
      <c r="AB114" s="121" t="s">
        <v>437</v>
      </c>
      <c r="AC114" s="98" t="s">
        <v>317</v>
      </c>
    </row>
    <row r="115" spans="1:29" s="1" customFormat="1" ht="45" customHeight="1">
      <c r="A115" s="420" t="s">
        <v>143</v>
      </c>
      <c r="B115" s="423" t="s">
        <v>88</v>
      </c>
      <c r="C115" s="342" t="s">
        <v>89</v>
      </c>
      <c r="D115" s="342" t="s">
        <v>90</v>
      </c>
      <c r="E115" s="426">
        <v>1</v>
      </c>
      <c r="F115" s="426">
        <v>1</v>
      </c>
      <c r="G115" s="342" t="s">
        <v>92</v>
      </c>
      <c r="H115" s="342" t="s">
        <v>151</v>
      </c>
      <c r="I115" s="342" t="s">
        <v>152</v>
      </c>
      <c r="J115" s="426">
        <v>1</v>
      </c>
      <c r="K115" s="486">
        <v>1</v>
      </c>
      <c r="L115" s="429">
        <v>2020630010117</v>
      </c>
      <c r="M115" s="346" t="s">
        <v>160</v>
      </c>
      <c r="N115" s="346" t="s">
        <v>159</v>
      </c>
      <c r="O115" s="480" t="s">
        <v>185</v>
      </c>
      <c r="P115" s="308">
        <v>12</v>
      </c>
      <c r="Q115" s="483">
        <v>12</v>
      </c>
      <c r="R115" s="381"/>
      <c r="S115" s="350">
        <f t="shared" si="3"/>
        <v>0</v>
      </c>
      <c r="T115" s="480" t="s">
        <v>151</v>
      </c>
      <c r="U115" s="308" t="s">
        <v>175</v>
      </c>
      <c r="V115" s="480" t="s">
        <v>176</v>
      </c>
      <c r="W115" s="479">
        <f>3352638251+1092210505</f>
        <v>4444848756</v>
      </c>
      <c r="X115" s="444">
        <v>1157711071</v>
      </c>
      <c r="Y115" s="446">
        <f t="shared" si="4"/>
        <v>0.26046129678478536</v>
      </c>
      <c r="Z115" s="300" t="s">
        <v>370</v>
      </c>
      <c r="AA115" s="300" t="s">
        <v>371</v>
      </c>
      <c r="AB115" s="300" t="s">
        <v>438</v>
      </c>
      <c r="AC115" s="519" t="s">
        <v>317</v>
      </c>
    </row>
    <row r="116" spans="1:29" s="1" customFormat="1" ht="45" customHeight="1" thickBot="1">
      <c r="A116" s="421"/>
      <c r="B116" s="424"/>
      <c r="C116" s="343"/>
      <c r="D116" s="343"/>
      <c r="E116" s="427"/>
      <c r="F116" s="427"/>
      <c r="G116" s="343"/>
      <c r="H116" s="343"/>
      <c r="I116" s="343"/>
      <c r="J116" s="427"/>
      <c r="K116" s="487"/>
      <c r="L116" s="429"/>
      <c r="M116" s="346"/>
      <c r="N116" s="346"/>
      <c r="O116" s="480"/>
      <c r="P116" s="308"/>
      <c r="Q116" s="483"/>
      <c r="R116" s="382"/>
      <c r="S116" s="384"/>
      <c r="T116" s="480"/>
      <c r="U116" s="308"/>
      <c r="V116" s="480"/>
      <c r="W116" s="479"/>
      <c r="X116" s="445"/>
      <c r="Y116" s="447"/>
      <c r="Z116" s="306"/>
      <c r="AA116" s="306"/>
      <c r="AB116" s="306"/>
      <c r="AC116" s="519"/>
    </row>
    <row r="117" spans="1:29" s="1" customFormat="1" ht="45" customHeight="1" thickBot="1">
      <c r="A117" s="421"/>
      <c r="B117" s="424"/>
      <c r="C117" s="343"/>
      <c r="D117" s="343"/>
      <c r="E117" s="427"/>
      <c r="F117" s="427"/>
      <c r="G117" s="343"/>
      <c r="H117" s="343"/>
      <c r="I117" s="343"/>
      <c r="J117" s="427"/>
      <c r="K117" s="487"/>
      <c r="L117" s="429"/>
      <c r="M117" s="346"/>
      <c r="N117" s="346"/>
      <c r="O117" s="480"/>
      <c r="P117" s="308"/>
      <c r="Q117" s="483"/>
      <c r="R117" s="382"/>
      <c r="S117" s="384"/>
      <c r="T117" s="480"/>
      <c r="U117" s="47" t="s">
        <v>177</v>
      </c>
      <c r="V117" s="47" t="s">
        <v>178</v>
      </c>
      <c r="W117" s="86">
        <v>11758682</v>
      </c>
      <c r="X117" s="123"/>
      <c r="Y117" s="141">
        <f t="shared" si="4"/>
        <v>0</v>
      </c>
      <c r="Z117" s="306"/>
      <c r="AA117" s="306"/>
      <c r="AB117" s="306"/>
      <c r="AC117" s="519"/>
    </row>
    <row r="118" spans="1:29" s="1" customFormat="1" ht="45" customHeight="1" thickBot="1">
      <c r="A118" s="421"/>
      <c r="B118" s="424"/>
      <c r="C118" s="343"/>
      <c r="D118" s="343"/>
      <c r="E118" s="427"/>
      <c r="F118" s="427"/>
      <c r="G118" s="343"/>
      <c r="H118" s="343"/>
      <c r="I118" s="343"/>
      <c r="J118" s="427"/>
      <c r="K118" s="487"/>
      <c r="L118" s="429"/>
      <c r="M118" s="346"/>
      <c r="N118" s="346"/>
      <c r="O118" s="480"/>
      <c r="P118" s="308"/>
      <c r="Q118" s="483"/>
      <c r="R118" s="382"/>
      <c r="S118" s="384"/>
      <c r="T118" s="480"/>
      <c r="U118" s="47" t="s">
        <v>179</v>
      </c>
      <c r="V118" s="47" t="s">
        <v>180</v>
      </c>
      <c r="W118" s="86">
        <v>15532242</v>
      </c>
      <c r="X118" s="123"/>
      <c r="Y118" s="141">
        <f t="shared" si="4"/>
        <v>0</v>
      </c>
      <c r="Z118" s="306"/>
      <c r="AA118" s="306"/>
      <c r="AB118" s="306"/>
      <c r="AC118" s="519"/>
    </row>
    <row r="119" spans="1:29" s="1" customFormat="1" ht="45" customHeight="1" thickBot="1">
      <c r="A119" s="421"/>
      <c r="B119" s="424"/>
      <c r="C119" s="343"/>
      <c r="D119" s="343"/>
      <c r="E119" s="427"/>
      <c r="F119" s="427"/>
      <c r="G119" s="343"/>
      <c r="H119" s="343"/>
      <c r="I119" s="343"/>
      <c r="J119" s="427"/>
      <c r="K119" s="487"/>
      <c r="L119" s="429"/>
      <c r="M119" s="346"/>
      <c r="N119" s="346"/>
      <c r="O119" s="480"/>
      <c r="P119" s="308"/>
      <c r="Q119" s="483"/>
      <c r="R119" s="382"/>
      <c r="S119" s="384"/>
      <c r="T119" s="480"/>
      <c r="U119" s="47" t="s">
        <v>181</v>
      </c>
      <c r="V119" s="47" t="s">
        <v>182</v>
      </c>
      <c r="W119" s="86">
        <v>514086198</v>
      </c>
      <c r="X119" s="123"/>
      <c r="Y119" s="141">
        <f t="shared" si="4"/>
        <v>0</v>
      </c>
      <c r="Z119" s="306"/>
      <c r="AA119" s="306"/>
      <c r="AB119" s="306"/>
      <c r="AC119" s="519"/>
    </row>
    <row r="120" spans="1:31" s="1" customFormat="1" ht="102.75" customHeight="1" thickBot="1">
      <c r="A120" s="422"/>
      <c r="B120" s="425"/>
      <c r="C120" s="416"/>
      <c r="D120" s="416"/>
      <c r="E120" s="428"/>
      <c r="F120" s="428"/>
      <c r="G120" s="416"/>
      <c r="H120" s="416"/>
      <c r="I120" s="416"/>
      <c r="J120" s="428"/>
      <c r="K120" s="488"/>
      <c r="L120" s="430"/>
      <c r="M120" s="434"/>
      <c r="N120" s="434"/>
      <c r="O120" s="481"/>
      <c r="P120" s="482"/>
      <c r="Q120" s="484"/>
      <c r="R120" s="383"/>
      <c r="S120" s="385"/>
      <c r="T120" s="481"/>
      <c r="U120" s="95" t="s">
        <v>183</v>
      </c>
      <c r="V120" s="52" t="s">
        <v>184</v>
      </c>
      <c r="W120" s="96">
        <v>415000000</v>
      </c>
      <c r="X120" s="126"/>
      <c r="Y120" s="141">
        <f t="shared" si="4"/>
        <v>0</v>
      </c>
      <c r="Z120" s="307"/>
      <c r="AA120" s="307"/>
      <c r="AB120" s="307"/>
      <c r="AC120" s="522"/>
      <c r="AE120" s="1" t="s">
        <v>344</v>
      </c>
    </row>
    <row r="121" spans="1:29" ht="15" customHeight="1">
      <c r="A121" s="136" t="s">
        <v>12</v>
      </c>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310">
        <f>W12+W13+W14+W15+W16+W17+W18+W19+W20+W21+W22+W23+W24+W25+W26+W27+W28+W29+W30+W31+W32+W33+W34+W35+W36+W37+W38+W39+W40+W41+W42+W43+W44+W45+W46+W47+W48+W49+W50+W51+W52+W53+W54+W55+W56+W57+W58+W59+W60+W61+W62+W63+W64+W65+W66+W67+W68+W69+W70+W71+W72+W73+W74+W75+W76+W77+W78+W79+W80+W81+W82+W83+W84+W85+W86+W87+W88+W89+W90+W91+W92+W93+W94+W95+W96+W97+W98+W99+W100+W101+W102+W103+W104+W105+W106+W107+W108+W109+W110+W111+W112+W113+W114+W115+W117+W118+W119+W120</f>
        <v>55225956030</v>
      </c>
      <c r="X121" s="310">
        <f>X12+X13+X14+X15+X16+X17+X18+X19+X20+X21+X22+X23+X24+X25+X26+X27+X28+X29+X30+X31+X32+X33+X34+X35+X36+X37+X38+X39+X40+X41+X42+X43+X44+X45+X46+X47+X48+X49+X50+X51+X52+X53+X54+X55+X56+X57+X58+X59+X60+X61+X62+X63+X64+X65+X66+X67+X68+X69+X70+X71+X72+X73+X74+X75+X76+X77+X78+X79+X80+X81+X82+X83+X84+X85+X86+X87+X88+X89+X90+X91+X92+X93+X94+X95+X96+X97+X98+X99+X100+X101+X102+X103+X104+X105+X106+X107+X108+X109+X110+X111+X112+X113+X114+X115+X117+X118+X119+X120</f>
        <v>15213307846.740002</v>
      </c>
      <c r="Y121" s="137"/>
      <c r="Z121" s="137"/>
      <c r="AA121" s="137"/>
      <c r="AB121" s="137"/>
      <c r="AC121" s="137"/>
    </row>
    <row r="122" spans="1:29" ht="12.75" customHeight="1" thickBot="1">
      <c r="A122" s="138"/>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311"/>
      <c r="X122" s="311"/>
      <c r="Y122" s="139"/>
      <c r="Z122" s="139"/>
      <c r="AA122" s="139"/>
      <c r="AB122" s="139"/>
      <c r="AC122" s="139"/>
    </row>
    <row r="123" spans="1:29" ht="12.75" hidden="1">
      <c r="A123" s="10"/>
      <c r="B123" s="8"/>
      <c r="C123" s="11"/>
      <c r="D123" s="8"/>
      <c r="E123" s="11"/>
      <c r="F123" s="8"/>
      <c r="G123" s="11"/>
      <c r="H123" s="8"/>
      <c r="I123" s="11"/>
      <c r="J123" s="11"/>
      <c r="K123" s="8"/>
      <c r="L123" s="11"/>
      <c r="M123" s="8"/>
      <c r="N123" s="5"/>
      <c r="O123" s="5"/>
      <c r="P123" s="5"/>
      <c r="Q123" s="5"/>
      <c r="R123" s="5"/>
      <c r="S123" s="142">
        <v>0</v>
      </c>
      <c r="T123" s="5"/>
      <c r="U123" s="5"/>
      <c r="V123" s="5"/>
      <c r="W123" s="5"/>
      <c r="X123" s="5"/>
      <c r="Y123" s="142">
        <v>0</v>
      </c>
      <c r="Z123" s="5"/>
      <c r="AA123" s="5"/>
      <c r="AB123" s="5"/>
      <c r="AC123" s="5"/>
    </row>
    <row r="124" spans="1:29" ht="13.5" hidden="1" thickBot="1">
      <c r="A124" s="10"/>
      <c r="B124" s="8"/>
      <c r="C124" s="11"/>
      <c r="D124" s="8"/>
      <c r="E124" s="11"/>
      <c r="F124" s="8"/>
      <c r="G124" s="11"/>
      <c r="H124" s="8"/>
      <c r="I124" s="11"/>
      <c r="J124" s="11"/>
      <c r="K124" s="8"/>
      <c r="L124" s="11"/>
      <c r="M124" s="8"/>
      <c r="N124" s="5"/>
      <c r="O124" s="5"/>
      <c r="P124" s="5"/>
      <c r="Q124" s="5"/>
      <c r="R124" s="5"/>
      <c r="S124" s="142">
        <v>1</v>
      </c>
      <c r="T124" s="5"/>
      <c r="U124" s="5"/>
      <c r="V124" s="5"/>
      <c r="W124" s="5"/>
      <c r="X124" s="5"/>
      <c r="Y124" s="142">
        <v>1</v>
      </c>
      <c r="Z124" s="5"/>
      <c r="AA124" s="5"/>
      <c r="AB124" s="5"/>
      <c r="AC124" s="5"/>
    </row>
    <row r="125" spans="1:29" ht="42.75" customHeight="1">
      <c r="A125" s="129"/>
      <c r="B125" s="130"/>
      <c r="C125" s="131"/>
      <c r="D125" s="130"/>
      <c r="E125" s="132"/>
      <c r="F125" s="130"/>
      <c r="G125" s="108"/>
      <c r="H125" s="108"/>
      <c r="I125" s="108"/>
      <c r="J125" s="441" t="s">
        <v>10</v>
      </c>
      <c r="K125" s="441"/>
      <c r="L125" s="441"/>
      <c r="M125" s="131"/>
      <c r="N125" s="131"/>
      <c r="O125" s="441" t="s">
        <v>9</v>
      </c>
      <c r="P125" s="441"/>
      <c r="Q125" s="441"/>
      <c r="R125" s="441"/>
      <c r="S125" s="441"/>
      <c r="T125" s="441"/>
      <c r="U125" s="441"/>
      <c r="V125" s="133"/>
      <c r="W125" s="439"/>
      <c r="X125" s="439"/>
      <c r="Y125" s="439"/>
      <c r="Z125" s="439"/>
      <c r="AA125" s="439"/>
      <c r="AB125" s="439"/>
      <c r="AC125" s="440"/>
    </row>
    <row r="126" spans="1:29" ht="14.25">
      <c r="A126" s="10"/>
      <c r="B126" s="8"/>
      <c r="C126" s="12"/>
      <c r="D126" s="8"/>
      <c r="E126" s="11"/>
      <c r="F126" s="8"/>
      <c r="G126" s="5"/>
      <c r="H126" s="5"/>
      <c r="I126" s="5"/>
      <c r="J126" s="11"/>
      <c r="K126" s="8"/>
      <c r="L126" s="11"/>
      <c r="M126" s="8"/>
      <c r="N126" s="8"/>
      <c r="O126" s="12"/>
      <c r="P126" s="12"/>
      <c r="Q126" s="12"/>
      <c r="R126" s="12"/>
      <c r="S126" s="12"/>
      <c r="T126" s="11"/>
      <c r="U126" s="5"/>
      <c r="V126" s="5"/>
      <c r="W126" s="5"/>
      <c r="X126" s="5"/>
      <c r="Y126" s="5"/>
      <c r="Z126" s="5"/>
      <c r="AA126" s="5"/>
      <c r="AB126" s="5"/>
      <c r="AC126" s="13"/>
    </row>
    <row r="127" spans="1:29" ht="14.25">
      <c r="A127" s="10"/>
      <c r="B127" s="8"/>
      <c r="C127" s="12"/>
      <c r="D127" s="8"/>
      <c r="E127" s="11"/>
      <c r="F127" s="8"/>
      <c r="G127" s="5"/>
      <c r="H127" s="5"/>
      <c r="I127" s="5"/>
      <c r="J127" s="11"/>
      <c r="K127" s="8"/>
      <c r="L127" s="11"/>
      <c r="M127" s="8"/>
      <c r="N127" s="8"/>
      <c r="O127" s="12"/>
      <c r="P127" s="12"/>
      <c r="Q127" s="12"/>
      <c r="R127" s="12"/>
      <c r="S127" s="12"/>
      <c r="T127" s="11"/>
      <c r="U127" s="11"/>
      <c r="V127" s="5"/>
      <c r="W127" s="5"/>
      <c r="X127" s="5"/>
      <c r="Y127" s="5"/>
      <c r="Z127" s="5"/>
      <c r="AA127" s="5"/>
      <c r="AB127" s="5"/>
      <c r="AC127" s="13"/>
    </row>
    <row r="128" spans="1:29" ht="12.75">
      <c r="A128" s="10"/>
      <c r="B128" s="8"/>
      <c r="C128" s="11"/>
      <c r="D128" s="8"/>
      <c r="E128" s="11"/>
      <c r="F128" s="8"/>
      <c r="G128" s="5"/>
      <c r="H128" s="5"/>
      <c r="I128" s="5"/>
      <c r="J128" s="11"/>
      <c r="K128" s="8"/>
      <c r="L128" s="11"/>
      <c r="M128" s="8"/>
      <c r="N128" s="8"/>
      <c r="O128" s="11"/>
      <c r="P128" s="11"/>
      <c r="Q128" s="11"/>
      <c r="R128" s="11"/>
      <c r="S128" s="11"/>
      <c r="T128" s="11"/>
      <c r="U128" s="11"/>
      <c r="V128" s="5"/>
      <c r="W128" s="5"/>
      <c r="X128" s="5"/>
      <c r="Y128" s="5"/>
      <c r="Z128" s="5"/>
      <c r="AA128" s="5"/>
      <c r="AB128" s="5"/>
      <c r="AC128" s="13"/>
    </row>
    <row r="129" spans="1:29" ht="14.25" customHeight="1" thickBot="1">
      <c r="A129" s="10"/>
      <c r="B129" s="8"/>
      <c r="C129" s="12"/>
      <c r="D129" s="8"/>
      <c r="E129" s="11"/>
      <c r="F129" s="8"/>
      <c r="G129" s="5"/>
      <c r="H129" s="5"/>
      <c r="I129" s="5"/>
      <c r="J129" s="20"/>
      <c r="K129" s="20"/>
      <c r="L129" s="16"/>
      <c r="M129" s="8"/>
      <c r="N129" s="8"/>
      <c r="O129" s="134"/>
      <c r="P129" s="12"/>
      <c r="Q129" s="12"/>
      <c r="R129" s="12"/>
      <c r="S129" s="12"/>
      <c r="T129" s="12"/>
      <c r="U129" s="11"/>
      <c r="V129" s="5"/>
      <c r="W129" s="5"/>
      <c r="X129" s="5"/>
      <c r="Y129" s="5"/>
      <c r="Z129" s="5"/>
      <c r="AA129" s="5"/>
      <c r="AB129" s="5"/>
      <c r="AC129" s="13"/>
    </row>
    <row r="130" spans="1:29" ht="25.5" customHeight="1">
      <c r="A130" s="10"/>
      <c r="B130" s="8"/>
      <c r="C130" s="15"/>
      <c r="D130" s="8"/>
      <c r="E130" s="11"/>
      <c r="F130" s="8"/>
      <c r="G130" s="5"/>
      <c r="H130" s="5"/>
      <c r="I130" s="5"/>
      <c r="J130" s="448" t="s">
        <v>316</v>
      </c>
      <c r="K130" s="448"/>
      <c r="L130" s="448"/>
      <c r="M130" s="19"/>
      <c r="N130" s="19"/>
      <c r="O130" s="135" t="s">
        <v>315</v>
      </c>
      <c r="P130" s="135"/>
      <c r="Q130" s="135"/>
      <c r="R130" s="135"/>
      <c r="S130" s="135"/>
      <c r="T130" s="135"/>
      <c r="U130" s="135"/>
      <c r="V130" s="41"/>
      <c r="W130" s="11"/>
      <c r="X130" s="11"/>
      <c r="Y130" s="11"/>
      <c r="Z130" s="11"/>
      <c r="AA130" s="11"/>
      <c r="AB130" s="11"/>
      <c r="AC130" s="14"/>
    </row>
    <row r="131" spans="1:29" ht="15">
      <c r="A131" s="10"/>
      <c r="B131" s="8"/>
      <c r="C131" s="15"/>
      <c r="D131" s="8"/>
      <c r="E131" s="11"/>
      <c r="F131" s="8"/>
      <c r="G131" s="5"/>
      <c r="H131" s="5"/>
      <c r="I131" s="5"/>
      <c r="J131" s="11" t="s">
        <v>11</v>
      </c>
      <c r="K131" s="8"/>
      <c r="L131" s="18"/>
      <c r="M131" s="19"/>
      <c r="N131" s="19"/>
      <c r="O131" s="11" t="s">
        <v>317</v>
      </c>
      <c r="P131" s="11"/>
      <c r="Q131" s="11"/>
      <c r="R131" s="11"/>
      <c r="S131" s="11"/>
      <c r="T131" s="8"/>
      <c r="U131" s="11"/>
      <c r="V131" s="11"/>
      <c r="W131" s="11"/>
      <c r="X131" s="11"/>
      <c r="Y131" s="11"/>
      <c r="Z131" s="11"/>
      <c r="AA131" s="11"/>
      <c r="AB131" s="11"/>
      <c r="AC131" s="14"/>
    </row>
    <row r="132" spans="1:29" ht="14.25">
      <c r="A132" s="10"/>
      <c r="B132" s="8"/>
      <c r="C132" s="11"/>
      <c r="D132" s="8"/>
      <c r="E132" s="11"/>
      <c r="F132" s="8"/>
      <c r="G132" s="11"/>
      <c r="H132" s="8"/>
      <c r="I132" s="11"/>
      <c r="J132" s="11"/>
      <c r="K132" s="8"/>
      <c r="L132" s="12"/>
      <c r="M132" s="8"/>
      <c r="N132" s="11"/>
      <c r="O132" s="11"/>
      <c r="P132" s="11"/>
      <c r="Q132" s="11"/>
      <c r="R132" s="11"/>
      <c r="S132" s="11"/>
      <c r="T132" s="11"/>
      <c r="U132" s="11"/>
      <c r="V132" s="11"/>
      <c r="W132" s="11"/>
      <c r="X132" s="11"/>
      <c r="Y132" s="11"/>
      <c r="Z132" s="11"/>
      <c r="AA132" s="11"/>
      <c r="AB132" s="11"/>
      <c r="AC132" s="14"/>
    </row>
    <row r="133" spans="1:29" ht="14.25">
      <c r="A133" s="10"/>
      <c r="B133" s="8"/>
      <c r="C133" s="11"/>
      <c r="D133" s="8"/>
      <c r="E133" s="11"/>
      <c r="F133" s="8"/>
      <c r="G133" s="11"/>
      <c r="H133" s="8"/>
      <c r="I133" s="11"/>
      <c r="J133" s="11"/>
      <c r="K133" s="8"/>
      <c r="L133" s="12"/>
      <c r="M133" s="8"/>
      <c r="N133" s="11"/>
      <c r="O133" s="11"/>
      <c r="P133" s="11"/>
      <c r="Q133" s="11"/>
      <c r="R133" s="11"/>
      <c r="S133" s="11"/>
      <c r="T133" s="11"/>
      <c r="U133" s="11"/>
      <c r="V133" s="11"/>
      <c r="W133" s="11"/>
      <c r="X133" s="11"/>
      <c r="Y133" s="11"/>
      <c r="Z133" s="11"/>
      <c r="AA133" s="11"/>
      <c r="AB133" s="11"/>
      <c r="AC133" s="14"/>
    </row>
    <row r="134" spans="1:29" ht="31.5" customHeight="1" thickBot="1">
      <c r="A134" s="436" t="s">
        <v>13</v>
      </c>
      <c r="B134" s="437"/>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437"/>
      <c r="AC134" s="438"/>
    </row>
  </sheetData>
  <sheetProtection/>
  <mergeCells count="376">
    <mergeCell ref="T104:T105"/>
    <mergeCell ref="L112:L113"/>
    <mergeCell ref="M112:M113"/>
    <mergeCell ref="N112:N113"/>
    <mergeCell ref="L104:L107"/>
    <mergeCell ref="M104:M107"/>
    <mergeCell ref="N104:N107"/>
    <mergeCell ref="T106:T107"/>
    <mergeCell ref="A106:A107"/>
    <mergeCell ref="D99:D102"/>
    <mergeCell ref="B99:B102"/>
    <mergeCell ref="C99:C102"/>
    <mergeCell ref="A99:A102"/>
    <mergeCell ref="D104:D105"/>
    <mergeCell ref="B104:B105"/>
    <mergeCell ref="C104:C105"/>
    <mergeCell ref="A104:A105"/>
    <mergeCell ref="A78:A82"/>
    <mergeCell ref="D89:D94"/>
    <mergeCell ref="B89:B94"/>
    <mergeCell ref="C89:C94"/>
    <mergeCell ref="A89:A94"/>
    <mergeCell ref="D95:D96"/>
    <mergeCell ref="B95:B96"/>
    <mergeCell ref="C95:C96"/>
    <mergeCell ref="A95:A96"/>
    <mergeCell ref="D47:D68"/>
    <mergeCell ref="B47:B68"/>
    <mergeCell ref="C47:C68"/>
    <mergeCell ref="A47:A68"/>
    <mergeCell ref="D84:D88"/>
    <mergeCell ref="B84:B88"/>
    <mergeCell ref="C84:C88"/>
    <mergeCell ref="A84:A88"/>
    <mergeCell ref="C78:C82"/>
    <mergeCell ref="D78:D82"/>
    <mergeCell ref="AC115:AC120"/>
    <mergeCell ref="AC25:AC32"/>
    <mergeCell ref="AC33:AC34"/>
    <mergeCell ref="AC18:AC22"/>
    <mergeCell ref="AC39:AC45"/>
    <mergeCell ref="AC84:AC88"/>
    <mergeCell ref="AC89:AC94"/>
    <mergeCell ref="AC95:AC96"/>
    <mergeCell ref="AC47:AC68"/>
    <mergeCell ref="AC70:AC71"/>
    <mergeCell ref="T99:T102"/>
    <mergeCell ref="AC99:AC102"/>
    <mergeCell ref="AC104:AC105"/>
    <mergeCell ref="AC106:AC107"/>
    <mergeCell ref="K104:K105"/>
    <mergeCell ref="K106:K107"/>
    <mergeCell ref="L84:L102"/>
    <mergeCell ref="M84:M102"/>
    <mergeCell ref="O84:O85"/>
    <mergeCell ref="K95:K96"/>
    <mergeCell ref="I104:I105"/>
    <mergeCell ref="J104:J105"/>
    <mergeCell ref="H104:H105"/>
    <mergeCell ref="E106:E107"/>
    <mergeCell ref="F106:F107"/>
    <mergeCell ref="G106:G107"/>
    <mergeCell ref="H106:H107"/>
    <mergeCell ref="I106:I107"/>
    <mergeCell ref="J106:J107"/>
    <mergeCell ref="E95:E96"/>
    <mergeCell ref="F95:F96"/>
    <mergeCell ref="G95:G96"/>
    <mergeCell ref="H95:H96"/>
    <mergeCell ref="I95:I96"/>
    <mergeCell ref="J95:J96"/>
    <mergeCell ref="F89:F94"/>
    <mergeCell ref="K99:K102"/>
    <mergeCell ref="F99:F102"/>
    <mergeCell ref="G99:G102"/>
    <mergeCell ref="H99:H102"/>
    <mergeCell ref="J99:J102"/>
    <mergeCell ref="K89:K94"/>
    <mergeCell ref="J89:J94"/>
    <mergeCell ref="I89:I94"/>
    <mergeCell ref="H89:H94"/>
    <mergeCell ref="T47:T68"/>
    <mergeCell ref="T39:T45"/>
    <mergeCell ref="U39:U40"/>
    <mergeCell ref="U44:U45"/>
    <mergeCell ref="P51:P60"/>
    <mergeCell ref="R35:R36"/>
    <mergeCell ref="P84:P85"/>
    <mergeCell ref="Q84:Q85"/>
    <mergeCell ref="H84:H88"/>
    <mergeCell ref="K84:K88"/>
    <mergeCell ref="P33:P34"/>
    <mergeCell ref="Q33:Q34"/>
    <mergeCell ref="K73:K77"/>
    <mergeCell ref="E84:E88"/>
    <mergeCell ref="F84:F88"/>
    <mergeCell ref="G84:G88"/>
    <mergeCell ref="I84:I88"/>
    <mergeCell ref="H78:H82"/>
    <mergeCell ref="O51:O60"/>
    <mergeCell ref="J47:J68"/>
    <mergeCell ref="Q51:Q60"/>
    <mergeCell ref="N24:N68"/>
    <mergeCell ref="I99:I102"/>
    <mergeCell ref="J84:J88"/>
    <mergeCell ref="K47:K68"/>
    <mergeCell ref="K78:K82"/>
    <mergeCell ref="J78:J82"/>
    <mergeCell ref="I47:I68"/>
    <mergeCell ref="T35:T36"/>
    <mergeCell ref="I39:I45"/>
    <mergeCell ref="B25:B32"/>
    <mergeCell ref="C25:C32"/>
    <mergeCell ref="T33:T34"/>
    <mergeCell ref="K33:K34"/>
    <mergeCell ref="E33:E34"/>
    <mergeCell ref="O33:O34"/>
    <mergeCell ref="K39:K45"/>
    <mergeCell ref="C39:C45"/>
    <mergeCell ref="I35:I38"/>
    <mergeCell ref="J35:J38"/>
    <mergeCell ref="K35:K38"/>
    <mergeCell ref="A25:A32"/>
    <mergeCell ref="J39:J45"/>
    <mergeCell ref="D25:D32"/>
    <mergeCell ref="G33:G34"/>
    <mergeCell ref="H33:H34"/>
    <mergeCell ref="A33:A34"/>
    <mergeCell ref="A39:A45"/>
    <mergeCell ref="B39:B45"/>
    <mergeCell ref="F39:F45"/>
    <mergeCell ref="G39:G45"/>
    <mergeCell ref="H39:H45"/>
    <mergeCell ref="D33:D34"/>
    <mergeCell ref="D39:D45"/>
    <mergeCell ref="E39:E45"/>
    <mergeCell ref="H35:H38"/>
    <mergeCell ref="F33:F34"/>
    <mergeCell ref="B18:B22"/>
    <mergeCell ref="C18:C22"/>
    <mergeCell ref="A18:A22"/>
    <mergeCell ref="B33:B34"/>
    <mergeCell ref="C33:C34"/>
    <mergeCell ref="O21:O22"/>
    <mergeCell ref="K18:K22"/>
    <mergeCell ref="M24:M68"/>
    <mergeCell ref="F47:F68"/>
    <mergeCell ref="E47:E68"/>
    <mergeCell ref="U18:U22"/>
    <mergeCell ref="K25:K32"/>
    <mergeCell ref="G18:G22"/>
    <mergeCell ref="H18:H22"/>
    <mergeCell ref="J18:J22"/>
    <mergeCell ref="P21:P22"/>
    <mergeCell ref="Q21:Q22"/>
    <mergeCell ref="U25:U31"/>
    <mergeCell ref="T25:T32"/>
    <mergeCell ref="N17:N23"/>
    <mergeCell ref="V115:V116"/>
    <mergeCell ref="H115:H120"/>
    <mergeCell ref="I115:I120"/>
    <mergeCell ref="J115:J120"/>
    <mergeCell ref="K115:K120"/>
    <mergeCell ref="S73:S75"/>
    <mergeCell ref="O73:O75"/>
    <mergeCell ref="T73:T77"/>
    <mergeCell ref="P73:P75"/>
    <mergeCell ref="Q73:Q75"/>
    <mergeCell ref="T18:T22"/>
    <mergeCell ref="I25:I32"/>
    <mergeCell ref="J25:J32"/>
    <mergeCell ref="I18:I22"/>
    <mergeCell ref="L24:L68"/>
    <mergeCell ref="L70:L71"/>
    <mergeCell ref="M70:M71"/>
    <mergeCell ref="M17:M23"/>
    <mergeCell ref="R51:R60"/>
    <mergeCell ref="S51:S60"/>
    <mergeCell ref="L8:N8"/>
    <mergeCell ref="Q80:Q82"/>
    <mergeCell ref="N10:N11"/>
    <mergeCell ref="O10:O11"/>
    <mergeCell ref="W115:W116"/>
    <mergeCell ref="N115:N120"/>
    <mergeCell ref="O115:O120"/>
    <mergeCell ref="P115:P120"/>
    <mergeCell ref="Q115:Q120"/>
    <mergeCell ref="T115:T120"/>
    <mergeCell ref="O80:O82"/>
    <mergeCell ref="T78:T82"/>
    <mergeCell ref="P80:P82"/>
    <mergeCell ref="J33:J34"/>
    <mergeCell ref="F25:F32"/>
    <mergeCell ref="G25:G32"/>
    <mergeCell ref="R73:R75"/>
    <mergeCell ref="I73:I77"/>
    <mergeCell ref="J73:J77"/>
    <mergeCell ref="O35:O36"/>
    <mergeCell ref="A1:B4"/>
    <mergeCell ref="B9:B11"/>
    <mergeCell ref="C9:C11"/>
    <mergeCell ref="D9:F9"/>
    <mergeCell ref="V25:V31"/>
    <mergeCell ref="M10:M11"/>
    <mergeCell ref="R21:R22"/>
    <mergeCell ref="S21:S22"/>
    <mergeCell ref="D18:D22"/>
    <mergeCell ref="L17:L23"/>
    <mergeCell ref="G9:G11"/>
    <mergeCell ref="H9:H11"/>
    <mergeCell ref="I9:K9"/>
    <mergeCell ref="A8:K8"/>
    <mergeCell ref="J10:J11"/>
    <mergeCell ref="K10:K11"/>
    <mergeCell ref="A134:AC134"/>
    <mergeCell ref="W125:AC125"/>
    <mergeCell ref="O125:U125"/>
    <mergeCell ref="J125:L125"/>
    <mergeCell ref="S35:S36"/>
    <mergeCell ref="R33:R34"/>
    <mergeCell ref="S33:S34"/>
    <mergeCell ref="X115:X116"/>
    <mergeCell ref="Y115:Y116"/>
    <mergeCell ref="J130:L130"/>
    <mergeCell ref="L115:L120"/>
    <mergeCell ref="L12:L14"/>
    <mergeCell ref="N70:N71"/>
    <mergeCell ref="L72:L82"/>
    <mergeCell ref="I78:I82"/>
    <mergeCell ref="N72:N82"/>
    <mergeCell ref="M72:M82"/>
    <mergeCell ref="M115:M120"/>
    <mergeCell ref="N84:N102"/>
    <mergeCell ref="N12:N14"/>
    <mergeCell ref="F104:F105"/>
    <mergeCell ref="G104:G105"/>
    <mergeCell ref="A115:A120"/>
    <mergeCell ref="B115:B120"/>
    <mergeCell ref="C115:C120"/>
    <mergeCell ref="D115:D120"/>
    <mergeCell ref="E115:E120"/>
    <mergeCell ref="F115:F120"/>
    <mergeCell ref="G115:G120"/>
    <mergeCell ref="C106:C107"/>
    <mergeCell ref="I33:I34"/>
    <mergeCell ref="G12:G13"/>
    <mergeCell ref="H12:H13"/>
    <mergeCell ref="D106:D107"/>
    <mergeCell ref="B106:B107"/>
    <mergeCell ref="E89:E94"/>
    <mergeCell ref="E99:E102"/>
    <mergeCell ref="G89:G94"/>
    <mergeCell ref="B78:B82"/>
    <mergeCell ref="E104:E105"/>
    <mergeCell ref="E78:E82"/>
    <mergeCell ref="F78:F82"/>
    <mergeCell ref="G78:G82"/>
    <mergeCell ref="E18:E22"/>
    <mergeCell ref="E25:E32"/>
    <mergeCell ref="H25:H32"/>
    <mergeCell ref="F18:F22"/>
    <mergeCell ref="G47:G68"/>
    <mergeCell ref="H47:H68"/>
    <mergeCell ref="H73:H77"/>
    <mergeCell ref="A5:G5"/>
    <mergeCell ref="D10:D11"/>
    <mergeCell ref="E10:E11"/>
    <mergeCell ref="F10:F11"/>
    <mergeCell ref="I10:I11"/>
    <mergeCell ref="AA10:AA11"/>
    <mergeCell ref="L10:L11"/>
    <mergeCell ref="A6:K6"/>
    <mergeCell ref="A7:G7"/>
    <mergeCell ref="A9:A11"/>
    <mergeCell ref="AB10:AB11"/>
    <mergeCell ref="P10:P11"/>
    <mergeCell ref="Q10:Q11"/>
    <mergeCell ref="T10:T11"/>
    <mergeCell ref="R10:R11"/>
    <mergeCell ref="U10:U11"/>
    <mergeCell ref="AC10:AC11"/>
    <mergeCell ref="O8:Q8"/>
    <mergeCell ref="R8:S8"/>
    <mergeCell ref="T8:Y8"/>
    <mergeCell ref="Z8:AA8"/>
    <mergeCell ref="L6:AC6"/>
    <mergeCell ref="V10:V11"/>
    <mergeCell ref="W10:W11"/>
    <mergeCell ref="X10:X11"/>
    <mergeCell ref="Z10:Z11"/>
    <mergeCell ref="C1:AB2"/>
    <mergeCell ref="C3:AB3"/>
    <mergeCell ref="C4:AB4"/>
    <mergeCell ref="H5:AC5"/>
    <mergeCell ref="R115:R120"/>
    <mergeCell ref="S115:S120"/>
    <mergeCell ref="R84:R85"/>
    <mergeCell ref="S84:S85"/>
    <mergeCell ref="R80:R82"/>
    <mergeCell ref="S80:S82"/>
    <mergeCell ref="A12:A13"/>
    <mergeCell ref="B12:B13"/>
    <mergeCell ref="C12:C13"/>
    <mergeCell ref="D12:D13"/>
    <mergeCell ref="E12:E13"/>
    <mergeCell ref="F12:F13"/>
    <mergeCell ref="I12:I13"/>
    <mergeCell ref="J12:J13"/>
    <mergeCell ref="K12:K13"/>
    <mergeCell ref="O12:O13"/>
    <mergeCell ref="P12:P13"/>
    <mergeCell ref="Q12:Q13"/>
    <mergeCell ref="M12:M14"/>
    <mergeCell ref="R12:R13"/>
    <mergeCell ref="S12:S13"/>
    <mergeCell ref="T12:T13"/>
    <mergeCell ref="Z12:Z13"/>
    <mergeCell ref="AA12:AA13"/>
    <mergeCell ref="AB12:AB13"/>
    <mergeCell ref="AC12:AC13"/>
    <mergeCell ref="Z21:Z22"/>
    <mergeCell ref="AA21:AA22"/>
    <mergeCell ref="AB21:AB22"/>
    <mergeCell ref="Z33:Z34"/>
    <mergeCell ref="AA33:AA34"/>
    <mergeCell ref="AB33:AB34"/>
    <mergeCell ref="AB35:AB36"/>
    <mergeCell ref="A35:A38"/>
    <mergeCell ref="B35:B38"/>
    <mergeCell ref="C35:C38"/>
    <mergeCell ref="D35:D38"/>
    <mergeCell ref="E35:E38"/>
    <mergeCell ref="F35:F38"/>
    <mergeCell ref="G35:G38"/>
    <mergeCell ref="Q35:Q36"/>
    <mergeCell ref="P35:P36"/>
    <mergeCell ref="G73:G77"/>
    <mergeCell ref="Z35:Z38"/>
    <mergeCell ref="AA35:AA38"/>
    <mergeCell ref="AC35:AC38"/>
    <mergeCell ref="Z39:Z40"/>
    <mergeCell ref="AA39:AA40"/>
    <mergeCell ref="O42:O43"/>
    <mergeCell ref="AB42:AB43"/>
    <mergeCell ref="AA42:AA43"/>
    <mergeCell ref="Z42:Z43"/>
    <mergeCell ref="A73:A77"/>
    <mergeCell ref="B73:B77"/>
    <mergeCell ref="C73:C77"/>
    <mergeCell ref="D73:D77"/>
    <mergeCell ref="E73:E77"/>
    <mergeCell ref="F73:F77"/>
    <mergeCell ref="AB73:AB75"/>
    <mergeCell ref="AB80:AB81"/>
    <mergeCell ref="AC73:AC82"/>
    <mergeCell ref="Z51:Z60"/>
    <mergeCell ref="AA51:AA60"/>
    <mergeCell ref="AB51:AB60"/>
    <mergeCell ref="AA78:AA82"/>
    <mergeCell ref="Z78:Z82"/>
    <mergeCell ref="Z84:Z85"/>
    <mergeCell ref="AA84:AA85"/>
    <mergeCell ref="W121:W122"/>
    <mergeCell ref="X121:X122"/>
    <mergeCell ref="Z73:Z75"/>
    <mergeCell ref="AA73:AA75"/>
    <mergeCell ref="AB84:AB85"/>
    <mergeCell ref="T110:T111"/>
    <mergeCell ref="AC110:AC111"/>
    <mergeCell ref="Z115:Z120"/>
    <mergeCell ref="AA115:AA120"/>
    <mergeCell ref="AB115:AB120"/>
    <mergeCell ref="U115:U116"/>
    <mergeCell ref="T84:T88"/>
    <mergeCell ref="T89:T94"/>
    <mergeCell ref="T95:T96"/>
  </mergeCells>
  <conditionalFormatting sqref="S10:S11">
    <cfRule type="colorScale" priority="6" dxfId="0">
      <colorScale>
        <cfvo type="percent" val="50"/>
        <cfvo type="percent" val="75"/>
        <cfvo type="percent" val="100"/>
        <color rgb="FFFF0000"/>
        <color rgb="FFFFFF00"/>
        <color rgb="FF92D050"/>
      </colorScale>
    </cfRule>
  </conditionalFormatting>
  <conditionalFormatting sqref="S8">
    <cfRule type="colorScale" priority="5" dxfId="0">
      <colorScale>
        <cfvo type="percent" val="50"/>
        <cfvo type="percent" val="75"/>
        <cfvo type="percent" val="100"/>
        <color rgb="FFFF0000"/>
        <color rgb="FFFFFF00"/>
        <color rgb="FF92D050"/>
      </colorScale>
    </cfRule>
  </conditionalFormatting>
  <conditionalFormatting sqref="S121:S124 S12:S21 S86:S115 S83:S84 S76:S80 S62:S72 S39:S52 S35 S23:S33">
    <cfRule type="colorScale" priority="4" dxfId="0">
      <colorScale>
        <cfvo type="percent" val="50"/>
        <cfvo type="percent" val="75"/>
        <cfvo type="percent" val="100"/>
        <color rgb="FFFF0000"/>
        <color rgb="FFFFFF00"/>
        <color rgb="FF92D050"/>
      </colorScale>
    </cfRule>
  </conditionalFormatting>
  <conditionalFormatting sqref="Y117:Y124 Y12:Y115">
    <cfRule type="colorScale" priority="3" dxfId="0">
      <colorScale>
        <cfvo type="percent" val="50"/>
        <cfvo type="percent" val="75"/>
        <cfvo type="percent" val="100"/>
        <color rgb="FFFF0000"/>
        <color rgb="FFFFFF00"/>
        <color rgb="FF92D050"/>
      </colorScale>
    </cfRule>
  </conditionalFormatting>
  <conditionalFormatting sqref="S12:S124">
    <cfRule type="colorScale" priority="2" dxfId="0">
      <colorScale>
        <cfvo type="percent" val="50"/>
        <cfvo type="percent" val="75"/>
        <cfvo type="percent" val="100"/>
        <color rgb="FFFF0000"/>
        <color rgb="FFFFFF00"/>
        <color rgb="FF92D050"/>
      </colorScale>
    </cfRule>
  </conditionalFormatting>
  <conditionalFormatting sqref="Y12:Y124">
    <cfRule type="colorScale" priority="1" dxfId="0">
      <colorScale>
        <cfvo type="percent" val="50"/>
        <cfvo type="percent" val="75"/>
        <cfvo type="percent" val="100"/>
        <color rgb="FFFF0000"/>
        <color rgb="FFFFFF00"/>
        <color rgb="FF92D050"/>
      </colorScale>
    </cfRule>
  </conditionalFormatting>
  <printOptions horizontalCentered="1"/>
  <pageMargins left="0.31496062992125984" right="0.31496062992125984" top="0.5511811023622047" bottom="0.2362204724409449" header="0.2755905511811024" footer="0.11811023622047245"/>
  <pageSetup fitToHeight="0" fitToWidth="1" horizontalDpi="600" verticalDpi="600" orientation="landscape" paperSize="5" scale="20" r:id="rId2"/>
  <drawing r:id="rId1"/>
</worksheet>
</file>

<file path=xl/worksheets/sheet2.xml><?xml version="1.0" encoding="utf-8"?>
<worksheet xmlns="http://schemas.openxmlformats.org/spreadsheetml/2006/main" xmlns:r="http://schemas.openxmlformats.org/officeDocument/2006/relationships">
  <dimension ref="A1:S139"/>
  <sheetViews>
    <sheetView zoomScale="52" zoomScaleNormal="52" zoomScalePageLayoutView="0" workbookViewId="0" topLeftCell="A151">
      <selection activeCell="L8" sqref="L8"/>
    </sheetView>
  </sheetViews>
  <sheetFormatPr defaultColWidth="11.421875" defaultRowHeight="12.75"/>
  <cols>
    <col min="1" max="1" width="21.8515625" style="0" customWidth="1"/>
    <col min="2" max="2" width="45.421875" style="0" customWidth="1"/>
    <col min="3" max="3" width="20.28125" style="0" customWidth="1"/>
    <col min="4" max="4" width="19.421875" style="0" customWidth="1"/>
    <col min="5" max="5" width="17.57421875" style="0" customWidth="1"/>
    <col min="6" max="7" width="21.57421875" style="0" customWidth="1"/>
    <col min="8" max="8" width="21.140625" style="0" customWidth="1"/>
    <col min="9" max="9" width="21.8515625" style="0" customWidth="1"/>
    <col min="10" max="10" width="24.57421875" style="0" customWidth="1"/>
    <col min="11" max="11" width="21.7109375" style="0" customWidth="1"/>
    <col min="12" max="12" width="24.8515625" style="0" customWidth="1"/>
    <col min="13" max="13" width="17.28125" style="0" customWidth="1"/>
    <col min="14" max="14" width="28.7109375" style="0" customWidth="1"/>
    <col min="15" max="15" width="30.421875" style="0" customWidth="1"/>
    <col min="16" max="16" width="22.140625" style="0" customWidth="1"/>
    <col min="17" max="18" width="10.8515625" style="272" customWidth="1"/>
  </cols>
  <sheetData>
    <row r="1" spans="1:18" ht="60.75" thickBot="1">
      <c r="A1" s="580" t="s">
        <v>6</v>
      </c>
      <c r="B1" s="580" t="s">
        <v>31</v>
      </c>
      <c r="C1" s="294"/>
      <c r="D1" s="582" t="s">
        <v>30</v>
      </c>
      <c r="E1" s="580" t="s">
        <v>29</v>
      </c>
      <c r="F1" s="575" t="s">
        <v>357</v>
      </c>
      <c r="G1" s="198" t="s">
        <v>358</v>
      </c>
      <c r="H1" s="543" t="s">
        <v>441</v>
      </c>
      <c r="I1" s="573" t="s">
        <v>162</v>
      </c>
      <c r="J1" s="575" t="s">
        <v>360</v>
      </c>
      <c r="K1" s="198" t="s">
        <v>358</v>
      </c>
      <c r="P1" s="272"/>
      <c r="R1"/>
    </row>
    <row r="2" spans="1:18" ht="36.75" thickBot="1">
      <c r="A2" s="581"/>
      <c r="B2" s="581"/>
      <c r="C2" s="295"/>
      <c r="D2" s="583"/>
      <c r="E2" s="581"/>
      <c r="F2" s="584"/>
      <c r="G2" s="199" t="s">
        <v>359</v>
      </c>
      <c r="H2" s="544"/>
      <c r="I2" s="574"/>
      <c r="J2" s="576"/>
      <c r="K2" s="199" t="s">
        <v>364</v>
      </c>
      <c r="P2" s="272"/>
      <c r="R2"/>
    </row>
    <row r="3" spans="1:18" ht="13.5" thickBot="1">
      <c r="A3" s="577" t="s">
        <v>155</v>
      </c>
      <c r="B3" s="579" t="s">
        <v>199</v>
      </c>
      <c r="C3" s="530">
        <v>2</v>
      </c>
      <c r="D3" s="572">
        <v>1</v>
      </c>
      <c r="E3" s="572">
        <v>1</v>
      </c>
      <c r="F3" s="572">
        <v>0.15</v>
      </c>
      <c r="G3" s="545">
        <f>F3/E3</f>
        <v>0.15</v>
      </c>
      <c r="H3" s="545">
        <v>0.225</v>
      </c>
      <c r="I3" s="201">
        <v>262266353</v>
      </c>
      <c r="J3" s="202">
        <v>0</v>
      </c>
      <c r="K3" s="203">
        <f>J3/I3</f>
        <v>0</v>
      </c>
      <c r="P3" s="272"/>
      <c r="R3"/>
    </row>
    <row r="4" spans="1:18" ht="13.5" thickBot="1">
      <c r="A4" s="578"/>
      <c r="B4" s="569"/>
      <c r="C4" s="531"/>
      <c r="D4" s="532"/>
      <c r="E4" s="532"/>
      <c r="F4" s="532"/>
      <c r="G4" s="561"/>
      <c r="H4" s="541"/>
      <c r="I4" s="205">
        <v>587733647</v>
      </c>
      <c r="J4" s="206">
        <v>0</v>
      </c>
      <c r="K4" s="203">
        <f>J4/I4</f>
        <v>0</v>
      </c>
      <c r="P4" s="272"/>
      <c r="R4"/>
    </row>
    <row r="5" spans="1:18" ht="24.75" thickBot="1">
      <c r="A5" s="563"/>
      <c r="B5" s="207" t="s">
        <v>200</v>
      </c>
      <c r="C5" s="532"/>
      <c r="D5" s="208">
        <v>0</v>
      </c>
      <c r="E5" s="208">
        <v>1</v>
      </c>
      <c r="F5" s="208">
        <v>0.3</v>
      </c>
      <c r="G5" s="209">
        <f>F5/E5</f>
        <v>0.3</v>
      </c>
      <c r="H5" s="542"/>
      <c r="I5" s="210">
        <v>80000000</v>
      </c>
      <c r="J5" s="211">
        <v>0</v>
      </c>
      <c r="K5" s="203">
        <f aca="true" t="shared" si="0" ref="K5:K73">J5/I5</f>
        <v>0</v>
      </c>
      <c r="P5" s="272"/>
      <c r="R5"/>
    </row>
    <row r="6" spans="1:18" ht="60.75" thickBot="1">
      <c r="A6" s="73" t="s">
        <v>168</v>
      </c>
      <c r="B6" s="212" t="s">
        <v>346</v>
      </c>
      <c r="C6" s="212">
        <v>1</v>
      </c>
      <c r="D6" s="213">
        <v>0</v>
      </c>
      <c r="E6" s="213">
        <v>1</v>
      </c>
      <c r="F6" s="213">
        <v>0.6</v>
      </c>
      <c r="G6" s="209">
        <f>F6/E6</f>
        <v>0.6</v>
      </c>
      <c r="H6" s="267">
        <v>0.6</v>
      </c>
      <c r="I6" s="210">
        <v>320000000</v>
      </c>
      <c r="J6" s="211">
        <v>319000028</v>
      </c>
      <c r="K6" s="203">
        <f t="shared" si="0"/>
        <v>0.9968750875</v>
      </c>
      <c r="P6" s="272"/>
      <c r="R6"/>
    </row>
    <row r="7" spans="1:18" ht="36.75" thickBot="1">
      <c r="A7" s="73" t="s">
        <v>215</v>
      </c>
      <c r="B7" s="73" t="s">
        <v>325</v>
      </c>
      <c r="C7" s="73">
        <v>1</v>
      </c>
      <c r="D7" s="215">
        <v>0</v>
      </c>
      <c r="E7" s="208" t="s">
        <v>218</v>
      </c>
      <c r="F7" s="208">
        <v>0</v>
      </c>
      <c r="G7" s="209">
        <v>0</v>
      </c>
      <c r="H7" s="267">
        <v>0</v>
      </c>
      <c r="I7" s="210">
        <v>0</v>
      </c>
      <c r="J7" s="211">
        <v>0</v>
      </c>
      <c r="K7" s="203">
        <v>0</v>
      </c>
      <c r="P7" s="272"/>
      <c r="R7"/>
    </row>
    <row r="8" spans="1:18" ht="60.75" thickBot="1">
      <c r="A8" s="563" t="s">
        <v>167</v>
      </c>
      <c r="B8" s="216" t="s">
        <v>219</v>
      </c>
      <c r="C8" s="533">
        <v>6</v>
      </c>
      <c r="D8" s="208">
        <v>0</v>
      </c>
      <c r="E8" s="217">
        <v>0.02</v>
      </c>
      <c r="F8" s="217">
        <v>0.0024</v>
      </c>
      <c r="G8" s="209">
        <f>F8/E8</f>
        <v>0.11999999999999998</v>
      </c>
      <c r="H8" s="540">
        <v>0.3485</v>
      </c>
      <c r="I8" s="218">
        <v>1616498198</v>
      </c>
      <c r="J8" s="219">
        <v>0</v>
      </c>
      <c r="K8" s="203">
        <f t="shared" si="0"/>
        <v>0</v>
      </c>
      <c r="P8" s="272"/>
      <c r="R8"/>
    </row>
    <row r="9" spans="1:18" ht="96.75" thickBot="1">
      <c r="A9" s="563"/>
      <c r="B9" s="220" t="s">
        <v>226</v>
      </c>
      <c r="C9" s="534"/>
      <c r="D9" s="208">
        <v>4</v>
      </c>
      <c r="E9" s="208">
        <v>3</v>
      </c>
      <c r="F9" s="208">
        <v>3</v>
      </c>
      <c r="G9" s="209">
        <v>0.6</v>
      </c>
      <c r="H9" s="541"/>
      <c r="I9" s="222">
        <f>3500000*11+2800000*11+3000000*11</f>
        <v>102300000</v>
      </c>
      <c r="J9" s="223">
        <v>90666660</v>
      </c>
      <c r="K9" s="203">
        <f t="shared" si="0"/>
        <v>0.8862821114369501</v>
      </c>
      <c r="P9" s="272"/>
      <c r="R9"/>
    </row>
    <row r="10" spans="1:18" ht="48.75" thickBot="1">
      <c r="A10" s="563"/>
      <c r="B10" s="220" t="s">
        <v>225</v>
      </c>
      <c r="C10" s="534"/>
      <c r="D10" s="208">
        <v>12</v>
      </c>
      <c r="E10" s="208">
        <v>12</v>
      </c>
      <c r="F10" s="208">
        <v>5</v>
      </c>
      <c r="G10" s="209">
        <f>F10/E10</f>
        <v>0.4166666666666667</v>
      </c>
      <c r="H10" s="541"/>
      <c r="I10" s="222">
        <f>530000000*12+724000+315000000</f>
        <v>6675724000</v>
      </c>
      <c r="J10" s="223">
        <v>6162206574.02</v>
      </c>
      <c r="K10" s="203">
        <f t="shared" si="0"/>
        <v>0.9230768938350358</v>
      </c>
      <c r="P10" s="272"/>
      <c r="R10"/>
    </row>
    <row r="11" spans="1:18" ht="72.75" thickBot="1">
      <c r="A11" s="563"/>
      <c r="B11" s="216" t="s">
        <v>227</v>
      </c>
      <c r="C11" s="534"/>
      <c r="D11" s="208">
        <v>1</v>
      </c>
      <c r="E11" s="208">
        <v>1</v>
      </c>
      <c r="F11" s="208">
        <v>0.6</v>
      </c>
      <c r="G11" s="209">
        <f>F11/E11</f>
        <v>0.6</v>
      </c>
      <c r="H11" s="541"/>
      <c r="I11" s="222">
        <f>(2200000*11)</f>
        <v>24200000</v>
      </c>
      <c r="J11" s="223">
        <v>15400000</v>
      </c>
      <c r="K11" s="203">
        <f t="shared" si="0"/>
        <v>0.6363636363636364</v>
      </c>
      <c r="P11" s="272"/>
      <c r="R11"/>
    </row>
    <row r="12" spans="1:18" ht="13.5" thickBot="1">
      <c r="A12" s="563"/>
      <c r="B12" s="571" t="s">
        <v>224</v>
      </c>
      <c r="C12" s="534"/>
      <c r="D12" s="555">
        <v>12</v>
      </c>
      <c r="E12" s="555">
        <v>12</v>
      </c>
      <c r="F12" s="536">
        <v>5</v>
      </c>
      <c r="G12" s="545">
        <v>0.006</v>
      </c>
      <c r="H12" s="541"/>
      <c r="I12" s="222">
        <f>430000000*12</f>
        <v>5160000000</v>
      </c>
      <c r="J12" s="223">
        <v>3580180257</v>
      </c>
      <c r="K12" s="203">
        <f t="shared" si="0"/>
        <v>0.6938333831395349</v>
      </c>
      <c r="P12" s="272"/>
      <c r="R12"/>
    </row>
    <row r="13" spans="1:18" ht="13.5" thickBot="1">
      <c r="A13" s="563"/>
      <c r="B13" s="571"/>
      <c r="C13" s="534"/>
      <c r="D13" s="555"/>
      <c r="E13" s="555"/>
      <c r="F13" s="538"/>
      <c r="G13" s="561"/>
      <c r="H13" s="541"/>
      <c r="I13" s="222">
        <v>27000000</v>
      </c>
      <c r="J13" s="223">
        <v>0</v>
      </c>
      <c r="K13" s="203">
        <f t="shared" si="0"/>
        <v>0</v>
      </c>
      <c r="P13" s="272"/>
      <c r="R13"/>
    </row>
    <row r="14" spans="1:18" ht="60.75" thickBot="1">
      <c r="A14" s="563"/>
      <c r="B14" s="226" t="s">
        <v>341</v>
      </c>
      <c r="C14" s="535"/>
      <c r="D14" s="215">
        <v>0</v>
      </c>
      <c r="E14" s="208" t="s">
        <v>218</v>
      </c>
      <c r="F14" s="208"/>
      <c r="G14" s="209">
        <v>0</v>
      </c>
      <c r="H14" s="542"/>
      <c r="I14" s="210">
        <v>0</v>
      </c>
      <c r="J14" s="211"/>
      <c r="K14" s="203" t="e">
        <f t="shared" si="0"/>
        <v>#DIV/0!</v>
      </c>
      <c r="P14" s="272"/>
      <c r="R14"/>
    </row>
    <row r="15" spans="1:18" ht="48.75" thickBot="1">
      <c r="A15" s="570" t="s">
        <v>256</v>
      </c>
      <c r="B15" s="73" t="s">
        <v>342</v>
      </c>
      <c r="C15" s="536">
        <v>33</v>
      </c>
      <c r="D15" s="215">
        <v>0</v>
      </c>
      <c r="E15" s="208" t="s">
        <v>218</v>
      </c>
      <c r="F15" s="208"/>
      <c r="G15" s="209">
        <v>0</v>
      </c>
      <c r="H15" s="267"/>
      <c r="I15" s="210">
        <v>0</v>
      </c>
      <c r="J15" s="211"/>
      <c r="K15" s="203" t="e">
        <f t="shared" si="0"/>
        <v>#DIV/0!</v>
      </c>
      <c r="P15" s="272"/>
      <c r="R15"/>
    </row>
    <row r="16" spans="1:18" ht="108.75" thickBot="1">
      <c r="A16" s="570"/>
      <c r="B16" s="216" t="s">
        <v>229</v>
      </c>
      <c r="C16" s="537"/>
      <c r="D16" s="208">
        <v>2</v>
      </c>
      <c r="E16" s="208">
        <v>5</v>
      </c>
      <c r="F16" s="208">
        <v>5</v>
      </c>
      <c r="G16" s="209">
        <v>0.6</v>
      </c>
      <c r="H16" s="540">
        <v>0.5894</v>
      </c>
      <c r="I16" s="222">
        <v>102873333</v>
      </c>
      <c r="J16" s="223">
        <f>16800000+12000000+19200000+16800000+21000000+8773333</f>
        <v>94573333</v>
      </c>
      <c r="K16" s="203">
        <f t="shared" si="0"/>
        <v>0.9193182551983613</v>
      </c>
      <c r="P16" s="272"/>
      <c r="R16"/>
    </row>
    <row r="17" spans="1:18" ht="108.75" thickBot="1">
      <c r="A17" s="570"/>
      <c r="B17" s="216" t="s">
        <v>230</v>
      </c>
      <c r="C17" s="537"/>
      <c r="D17" s="208">
        <v>1</v>
      </c>
      <c r="E17" s="208">
        <v>2</v>
      </c>
      <c r="F17" s="208">
        <v>2</v>
      </c>
      <c r="G17" s="209">
        <v>0.6</v>
      </c>
      <c r="H17" s="541"/>
      <c r="I17" s="222">
        <f>3000000*11</f>
        <v>33000000</v>
      </c>
      <c r="J17" s="222">
        <f>16800000+11200000</f>
        <v>28000000</v>
      </c>
      <c r="K17" s="203">
        <f t="shared" si="0"/>
        <v>0.8484848484848485</v>
      </c>
      <c r="P17" s="272"/>
      <c r="R17"/>
    </row>
    <row r="18" spans="1:18" ht="120.75" thickBot="1">
      <c r="A18" s="570"/>
      <c r="B18" s="216" t="s">
        <v>231</v>
      </c>
      <c r="C18" s="537"/>
      <c r="D18" s="208">
        <v>1</v>
      </c>
      <c r="E18" s="208">
        <v>1</v>
      </c>
      <c r="F18" s="208">
        <v>1</v>
      </c>
      <c r="G18" s="209">
        <v>0.6</v>
      </c>
      <c r="H18" s="541"/>
      <c r="I18" s="222">
        <f>1700000*11</f>
        <v>18700000</v>
      </c>
      <c r="J18" s="223">
        <v>16773333</v>
      </c>
      <c r="K18" s="203">
        <f t="shared" si="0"/>
        <v>0.8969696791443851</v>
      </c>
      <c r="P18" s="272"/>
      <c r="R18"/>
    </row>
    <row r="19" spans="1:18" ht="72.75" thickBot="1">
      <c r="A19" s="570"/>
      <c r="B19" s="216" t="s">
        <v>232</v>
      </c>
      <c r="C19" s="537"/>
      <c r="D19" s="208">
        <v>0</v>
      </c>
      <c r="E19" s="208">
        <v>1</v>
      </c>
      <c r="F19" s="208">
        <v>0</v>
      </c>
      <c r="G19" s="209">
        <f>F19/E19</f>
        <v>0</v>
      </c>
      <c r="H19" s="541"/>
      <c r="I19" s="222">
        <v>8247565</v>
      </c>
      <c r="J19" s="223">
        <v>0</v>
      </c>
      <c r="K19" s="203">
        <f t="shared" si="0"/>
        <v>0</v>
      </c>
      <c r="P19" s="272"/>
      <c r="R19"/>
    </row>
    <row r="20" spans="1:18" ht="60.75" thickBot="1">
      <c r="A20" s="570"/>
      <c r="B20" s="214" t="s">
        <v>233</v>
      </c>
      <c r="C20" s="537"/>
      <c r="D20" s="208">
        <v>1</v>
      </c>
      <c r="E20" s="208">
        <v>1</v>
      </c>
      <c r="F20" s="208">
        <v>0</v>
      </c>
      <c r="G20" s="209">
        <f>F20/E20</f>
        <v>0</v>
      </c>
      <c r="H20" s="541"/>
      <c r="I20" s="227">
        <v>0</v>
      </c>
      <c r="J20" s="228">
        <v>0</v>
      </c>
      <c r="K20" s="203">
        <v>0</v>
      </c>
      <c r="P20" s="272"/>
      <c r="R20"/>
    </row>
    <row r="21" spans="1:18" ht="48.75" thickBot="1">
      <c r="A21" s="570"/>
      <c r="B21" s="214" t="s">
        <v>234</v>
      </c>
      <c r="C21" s="537"/>
      <c r="D21" s="208">
        <v>0</v>
      </c>
      <c r="E21" s="208">
        <v>1</v>
      </c>
      <c r="F21" s="208">
        <v>1</v>
      </c>
      <c r="G21" s="209">
        <f>F21/E21</f>
        <v>1</v>
      </c>
      <c r="H21" s="541"/>
      <c r="I21" s="227">
        <v>80000000</v>
      </c>
      <c r="J21" s="228">
        <v>80000000</v>
      </c>
      <c r="K21" s="203">
        <f t="shared" si="0"/>
        <v>1</v>
      </c>
      <c r="P21" s="272"/>
      <c r="R21"/>
    </row>
    <row r="22" spans="1:18" ht="72.75" thickBot="1">
      <c r="A22" s="570"/>
      <c r="B22" s="229" t="s">
        <v>439</v>
      </c>
      <c r="C22" s="537"/>
      <c r="D22" s="208">
        <v>1</v>
      </c>
      <c r="E22" s="208">
        <v>1</v>
      </c>
      <c r="F22" s="208">
        <v>1</v>
      </c>
      <c r="G22" s="209">
        <f>F22/E22</f>
        <v>1</v>
      </c>
      <c r="H22" s="541"/>
      <c r="I22" s="227">
        <v>3700000</v>
      </c>
      <c r="J22" s="228">
        <v>3700000</v>
      </c>
      <c r="K22" s="203">
        <f t="shared" si="0"/>
        <v>1</v>
      </c>
      <c r="P22" s="272"/>
      <c r="R22"/>
    </row>
    <row r="23" spans="1:18" ht="36.75" thickBot="1">
      <c r="A23" s="570"/>
      <c r="B23" s="214" t="s">
        <v>235</v>
      </c>
      <c r="C23" s="537"/>
      <c r="D23" s="208">
        <v>0</v>
      </c>
      <c r="E23" s="208">
        <v>4</v>
      </c>
      <c r="F23" s="208">
        <v>0</v>
      </c>
      <c r="G23" s="209">
        <v>0.5</v>
      </c>
      <c r="H23" s="541"/>
      <c r="I23" s="227">
        <v>97000000</v>
      </c>
      <c r="J23" s="228">
        <v>0</v>
      </c>
      <c r="K23" s="203">
        <f t="shared" si="0"/>
        <v>0</v>
      </c>
      <c r="P23" s="272"/>
      <c r="R23"/>
    </row>
    <row r="24" spans="1:18" ht="13.5" thickBot="1">
      <c r="A24" s="570"/>
      <c r="B24" s="557" t="s">
        <v>244</v>
      </c>
      <c r="C24" s="537"/>
      <c r="D24" s="555">
        <v>0</v>
      </c>
      <c r="E24" s="555">
        <v>1</v>
      </c>
      <c r="F24" s="536">
        <v>0.25</v>
      </c>
      <c r="G24" s="545">
        <f>F24/E24</f>
        <v>0.25</v>
      </c>
      <c r="H24" s="541"/>
      <c r="I24" s="230">
        <v>500000000</v>
      </c>
      <c r="J24" s="231">
        <v>0</v>
      </c>
      <c r="K24" s="203">
        <f t="shared" si="0"/>
        <v>0</v>
      </c>
      <c r="P24" s="272"/>
      <c r="R24"/>
    </row>
    <row r="25" spans="1:18" ht="13.5" thickBot="1">
      <c r="A25" s="570"/>
      <c r="B25" s="557"/>
      <c r="C25" s="537"/>
      <c r="D25" s="555"/>
      <c r="E25" s="555"/>
      <c r="F25" s="538"/>
      <c r="G25" s="561"/>
      <c r="H25" s="541"/>
      <c r="I25" s="230">
        <f>1233717965+19111766501</f>
        <v>20345484466</v>
      </c>
      <c r="J25" s="231">
        <v>0</v>
      </c>
      <c r="K25" s="203">
        <f t="shared" si="0"/>
        <v>0</v>
      </c>
      <c r="P25" s="272"/>
      <c r="R25"/>
    </row>
    <row r="26" spans="1:18" ht="13.5" thickBot="1">
      <c r="A26" s="570"/>
      <c r="B26" s="557" t="s">
        <v>245</v>
      </c>
      <c r="C26" s="537"/>
      <c r="D26" s="555">
        <v>0</v>
      </c>
      <c r="E26" s="555">
        <v>300</v>
      </c>
      <c r="F26" s="536">
        <v>0.5</v>
      </c>
      <c r="G26" s="545">
        <v>0.5</v>
      </c>
      <c r="H26" s="541"/>
      <c r="I26" s="222">
        <v>33400000</v>
      </c>
      <c r="J26" s="223">
        <v>0</v>
      </c>
      <c r="K26" s="203">
        <f t="shared" si="0"/>
        <v>0</v>
      </c>
      <c r="P26" s="272"/>
      <c r="R26"/>
    </row>
    <row r="27" spans="1:18" ht="13.5" thickBot="1">
      <c r="A27" s="570"/>
      <c r="B27" s="557"/>
      <c r="C27" s="537"/>
      <c r="D27" s="555"/>
      <c r="E27" s="555"/>
      <c r="F27" s="538"/>
      <c r="G27" s="561"/>
      <c r="H27" s="541"/>
      <c r="I27" s="232">
        <f>57294590</f>
        <v>57294590</v>
      </c>
      <c r="J27" s="233"/>
      <c r="K27" s="203">
        <f t="shared" si="0"/>
        <v>0</v>
      </c>
      <c r="P27" s="272"/>
      <c r="R27"/>
    </row>
    <row r="28" spans="1:18" ht="120.75" thickBot="1">
      <c r="A28" s="570"/>
      <c r="B28" s="204" t="s">
        <v>390</v>
      </c>
      <c r="C28" s="537"/>
      <c r="D28" s="208">
        <v>0</v>
      </c>
      <c r="E28" s="208">
        <v>2</v>
      </c>
      <c r="F28" s="234">
        <v>1</v>
      </c>
      <c r="G28" s="235">
        <v>0.5</v>
      </c>
      <c r="H28" s="541"/>
      <c r="I28" s="236">
        <v>15720000</v>
      </c>
      <c r="J28" s="232">
        <f>0</f>
        <v>0</v>
      </c>
      <c r="K28" s="203">
        <f>J28/I28</f>
        <v>0</v>
      </c>
      <c r="P28" s="272"/>
      <c r="R28"/>
    </row>
    <row r="29" spans="1:18" ht="120.75" thickBot="1">
      <c r="A29" s="570"/>
      <c r="B29" s="204" t="s">
        <v>391</v>
      </c>
      <c r="C29" s="537"/>
      <c r="D29" s="208">
        <v>0</v>
      </c>
      <c r="E29" s="208">
        <v>1</v>
      </c>
      <c r="F29" s="234">
        <v>1</v>
      </c>
      <c r="G29" s="235">
        <v>0.6</v>
      </c>
      <c r="H29" s="541"/>
      <c r="I29" s="236">
        <v>12880000</v>
      </c>
      <c r="J29" s="232">
        <f>12880000</f>
        <v>12880000</v>
      </c>
      <c r="K29" s="203">
        <f>J29/I29</f>
        <v>1</v>
      </c>
      <c r="P29" s="272"/>
      <c r="R29"/>
    </row>
    <row r="30" spans="1:18" ht="60.75" thickBot="1">
      <c r="A30" s="570"/>
      <c r="B30" s="207" t="s">
        <v>248</v>
      </c>
      <c r="C30" s="537"/>
      <c r="D30" s="208">
        <v>0</v>
      </c>
      <c r="E30" s="208">
        <v>1</v>
      </c>
      <c r="F30" s="208">
        <v>1</v>
      </c>
      <c r="G30" s="209">
        <f aca="true" t="shared" si="1" ref="G30:G35">F30/E30</f>
        <v>1</v>
      </c>
      <c r="H30" s="541"/>
      <c r="I30" s="210">
        <v>5000000</v>
      </c>
      <c r="J30" s="211">
        <v>5000000</v>
      </c>
      <c r="K30" s="203">
        <f t="shared" si="0"/>
        <v>1</v>
      </c>
      <c r="P30" s="272"/>
      <c r="R30"/>
    </row>
    <row r="31" spans="1:18" ht="60.75" thickBot="1">
      <c r="A31" s="570"/>
      <c r="B31" s="207" t="s">
        <v>249</v>
      </c>
      <c r="C31" s="537"/>
      <c r="D31" s="208">
        <v>0</v>
      </c>
      <c r="E31" s="208">
        <v>1</v>
      </c>
      <c r="F31" s="208">
        <v>1</v>
      </c>
      <c r="G31" s="209">
        <f t="shared" si="1"/>
        <v>1</v>
      </c>
      <c r="H31" s="541"/>
      <c r="I31" s="210">
        <v>10000000</v>
      </c>
      <c r="J31" s="211">
        <v>10000000</v>
      </c>
      <c r="K31" s="203">
        <f t="shared" si="0"/>
        <v>1</v>
      </c>
      <c r="P31" s="272"/>
      <c r="R31"/>
    </row>
    <row r="32" spans="1:18" ht="84.75" thickBot="1">
      <c r="A32" s="570"/>
      <c r="B32" s="207" t="s">
        <v>250</v>
      </c>
      <c r="C32" s="537"/>
      <c r="D32" s="208">
        <v>0</v>
      </c>
      <c r="E32" s="208">
        <v>500</v>
      </c>
      <c r="F32" s="208">
        <v>100</v>
      </c>
      <c r="G32" s="209">
        <f t="shared" si="1"/>
        <v>0.2</v>
      </c>
      <c r="H32" s="541"/>
      <c r="I32" s="210">
        <v>300000000</v>
      </c>
      <c r="J32" s="211">
        <v>300000000</v>
      </c>
      <c r="K32" s="203">
        <f t="shared" si="0"/>
        <v>1</v>
      </c>
      <c r="P32" s="272"/>
      <c r="R32"/>
    </row>
    <row r="33" spans="1:18" ht="13.5" thickBot="1">
      <c r="A33" s="570"/>
      <c r="B33" s="568" t="s">
        <v>395</v>
      </c>
      <c r="C33" s="537"/>
      <c r="D33" s="208">
        <v>0</v>
      </c>
      <c r="E33" s="208">
        <v>1</v>
      </c>
      <c r="F33" s="208">
        <v>0.5</v>
      </c>
      <c r="G33" s="209">
        <f t="shared" si="1"/>
        <v>0.5</v>
      </c>
      <c r="H33" s="541"/>
      <c r="I33" s="238">
        <v>30000000</v>
      </c>
      <c r="J33" s="211">
        <v>0</v>
      </c>
      <c r="K33" s="203">
        <f t="shared" si="0"/>
        <v>0</v>
      </c>
      <c r="P33" s="272"/>
      <c r="R33"/>
    </row>
    <row r="34" spans="1:18" ht="13.5" thickBot="1">
      <c r="A34" s="570"/>
      <c r="B34" s="569"/>
      <c r="C34" s="537"/>
      <c r="D34" s="208">
        <v>0</v>
      </c>
      <c r="E34" s="208">
        <v>1</v>
      </c>
      <c r="F34" s="208">
        <v>0.5</v>
      </c>
      <c r="G34" s="209">
        <f t="shared" si="1"/>
        <v>0.5</v>
      </c>
      <c r="H34" s="541"/>
      <c r="I34" s="238">
        <v>50000000</v>
      </c>
      <c r="J34" s="211">
        <v>0</v>
      </c>
      <c r="K34" s="203">
        <f t="shared" si="0"/>
        <v>0</v>
      </c>
      <c r="P34" s="272"/>
      <c r="R34"/>
    </row>
    <row r="35" spans="1:18" ht="48.75" thickBot="1">
      <c r="A35" s="570"/>
      <c r="B35" s="207" t="s">
        <v>251</v>
      </c>
      <c r="C35" s="537"/>
      <c r="D35" s="208">
        <v>0</v>
      </c>
      <c r="E35" s="208">
        <v>1</v>
      </c>
      <c r="F35" s="208">
        <v>1</v>
      </c>
      <c r="G35" s="209">
        <f t="shared" si="1"/>
        <v>1</v>
      </c>
      <c r="H35" s="541"/>
      <c r="I35" s="210">
        <v>50000000</v>
      </c>
      <c r="J35" s="211">
        <v>50000000</v>
      </c>
      <c r="K35" s="203">
        <f t="shared" si="0"/>
        <v>1</v>
      </c>
      <c r="P35" s="272"/>
      <c r="R35"/>
    </row>
    <row r="36" spans="1:18" ht="84.75" thickBot="1">
      <c r="A36" s="570"/>
      <c r="B36" s="207" t="s">
        <v>252</v>
      </c>
      <c r="C36" s="537"/>
      <c r="D36" s="208">
        <v>2</v>
      </c>
      <c r="E36" s="208">
        <v>1</v>
      </c>
      <c r="F36" s="208">
        <v>1</v>
      </c>
      <c r="G36" s="209">
        <v>0.7</v>
      </c>
      <c r="H36" s="541"/>
      <c r="I36" s="210">
        <f>(2200000*11)-400</f>
        <v>24199600</v>
      </c>
      <c r="J36" s="211">
        <v>21266666</v>
      </c>
      <c r="K36" s="203">
        <f t="shared" si="0"/>
        <v>0.8788023768987917</v>
      </c>
      <c r="P36" s="272"/>
      <c r="R36"/>
    </row>
    <row r="37" spans="1:18" ht="36.75" thickBot="1">
      <c r="A37" s="570"/>
      <c r="B37" s="207" t="s">
        <v>397</v>
      </c>
      <c r="C37" s="537"/>
      <c r="D37" s="208">
        <v>0</v>
      </c>
      <c r="E37" s="237">
        <v>230</v>
      </c>
      <c r="F37" s="208">
        <v>230</v>
      </c>
      <c r="G37" s="209">
        <f>F37/E37</f>
        <v>1</v>
      </c>
      <c r="H37" s="541"/>
      <c r="I37" s="210">
        <v>16677003</v>
      </c>
      <c r="J37" s="240">
        <f>I37</f>
        <v>16677003</v>
      </c>
      <c r="K37" s="203">
        <f t="shared" si="0"/>
        <v>1</v>
      </c>
      <c r="P37" s="272"/>
      <c r="R37"/>
    </row>
    <row r="38" spans="1:18" ht="120.75" thickBot="1">
      <c r="A38" s="570"/>
      <c r="B38" s="207" t="s">
        <v>257</v>
      </c>
      <c r="C38" s="537"/>
      <c r="D38" s="213">
        <v>2</v>
      </c>
      <c r="E38" s="208">
        <v>3</v>
      </c>
      <c r="F38" s="208">
        <v>3</v>
      </c>
      <c r="G38" s="209">
        <v>0.6</v>
      </c>
      <c r="H38" s="541"/>
      <c r="I38" s="241">
        <v>59400000</v>
      </c>
      <c r="J38" s="240">
        <f>9800000+19200000+15200000+14933333</f>
        <v>59133333</v>
      </c>
      <c r="K38" s="203">
        <f t="shared" si="0"/>
        <v>0.9955106565656565</v>
      </c>
      <c r="P38" s="272"/>
      <c r="R38"/>
    </row>
    <row r="39" spans="1:18" ht="120.75" thickBot="1">
      <c r="A39" s="570"/>
      <c r="B39" s="207" t="s">
        <v>258</v>
      </c>
      <c r="C39" s="537"/>
      <c r="D39" s="213">
        <v>1</v>
      </c>
      <c r="E39" s="208">
        <v>1</v>
      </c>
      <c r="F39" s="208">
        <v>1</v>
      </c>
      <c r="G39" s="209">
        <v>0.6</v>
      </c>
      <c r="H39" s="541"/>
      <c r="I39" s="210">
        <f>42133333-91</f>
        <v>42133242</v>
      </c>
      <c r="J39" s="240">
        <f>21000000+4800000+11200000+770000</f>
        <v>37770000</v>
      </c>
      <c r="K39" s="203">
        <f t="shared" si="0"/>
        <v>0.896441816653938</v>
      </c>
      <c r="P39" s="272"/>
      <c r="R39"/>
    </row>
    <row r="40" spans="1:18" ht="84.75" thickBot="1">
      <c r="A40" s="570"/>
      <c r="B40" s="220" t="s">
        <v>259</v>
      </c>
      <c r="C40" s="537"/>
      <c r="D40" s="213">
        <v>0</v>
      </c>
      <c r="E40" s="208">
        <v>20</v>
      </c>
      <c r="F40" s="208">
        <v>20</v>
      </c>
      <c r="G40" s="209">
        <v>0.6</v>
      </c>
      <c r="H40" s="541"/>
      <c r="I40" s="241">
        <f>233156666.43-0.13</f>
        <v>233156666.3</v>
      </c>
      <c r="J40" s="242">
        <f>19200000+10200000+14933333.33+17066666.7+9066666.7+6800000+6800000+12600000+6800000+6800000+12800000+6800000+6800000+6800000+9000000+5950000+10500000+39270000-9023062</f>
        <v>199163604.73000002</v>
      </c>
      <c r="K40" s="203">
        <f t="shared" si="0"/>
        <v>0.8542050625897116</v>
      </c>
      <c r="P40" s="272"/>
      <c r="R40"/>
    </row>
    <row r="41" spans="1:18" ht="36.75" thickBot="1">
      <c r="A41" s="570"/>
      <c r="B41" s="220" t="s">
        <v>401</v>
      </c>
      <c r="C41" s="537"/>
      <c r="D41" s="243">
        <v>0</v>
      </c>
      <c r="E41" s="224">
        <v>2</v>
      </c>
      <c r="F41" s="208">
        <v>0.5</v>
      </c>
      <c r="G41" s="200">
        <f>F41/E41</f>
        <v>0.25</v>
      </c>
      <c r="H41" s="541"/>
      <c r="I41" s="241">
        <v>59000000</v>
      </c>
      <c r="J41" s="242">
        <v>0</v>
      </c>
      <c r="K41" s="203"/>
      <c r="P41" s="272"/>
      <c r="R41"/>
    </row>
    <row r="42" spans="1:18" ht="13.5" thickBot="1">
      <c r="A42" s="570"/>
      <c r="B42" s="557" t="s">
        <v>440</v>
      </c>
      <c r="C42" s="537"/>
      <c r="D42" s="555" t="s">
        <v>345</v>
      </c>
      <c r="E42" s="555">
        <v>450</v>
      </c>
      <c r="F42" s="536"/>
      <c r="G42" s="545">
        <f>F42/E42</f>
        <v>0</v>
      </c>
      <c r="H42" s="541"/>
      <c r="I42" s="241">
        <v>586933</v>
      </c>
      <c r="J42" s="244">
        <v>0</v>
      </c>
      <c r="K42" s="203">
        <f t="shared" si="0"/>
        <v>0</v>
      </c>
      <c r="P42" s="272"/>
      <c r="R42"/>
    </row>
    <row r="43" spans="1:18" ht="13.5" thickBot="1">
      <c r="A43" s="570"/>
      <c r="B43" s="557"/>
      <c r="C43" s="537"/>
      <c r="D43" s="555"/>
      <c r="E43" s="555"/>
      <c r="F43" s="537"/>
      <c r="G43" s="541"/>
      <c r="H43" s="541"/>
      <c r="I43" s="241">
        <v>41633132</v>
      </c>
      <c r="J43" s="244">
        <v>0</v>
      </c>
      <c r="K43" s="203"/>
      <c r="P43" s="272"/>
      <c r="R43"/>
    </row>
    <row r="44" spans="1:18" ht="13.5" thickBot="1">
      <c r="A44" s="570"/>
      <c r="B44" s="557"/>
      <c r="C44" s="537"/>
      <c r="D44" s="555"/>
      <c r="E44" s="555"/>
      <c r="F44" s="537"/>
      <c r="G44" s="541"/>
      <c r="H44" s="541"/>
      <c r="I44" s="241">
        <f>537917032+170000000</f>
        <v>707917032</v>
      </c>
      <c r="J44" s="244">
        <v>0</v>
      </c>
      <c r="K44" s="203">
        <f t="shared" si="0"/>
        <v>0</v>
      </c>
      <c r="P44" s="272"/>
      <c r="R44"/>
    </row>
    <row r="45" spans="1:18" ht="13.5" thickBot="1">
      <c r="A45" s="570"/>
      <c r="B45" s="557"/>
      <c r="C45" s="537"/>
      <c r="D45" s="555"/>
      <c r="E45" s="555"/>
      <c r="F45" s="537"/>
      <c r="G45" s="541"/>
      <c r="H45" s="541"/>
      <c r="I45" s="241">
        <f>362862940-350000000</f>
        <v>12862940</v>
      </c>
      <c r="J45" s="244">
        <v>0</v>
      </c>
      <c r="K45" s="203">
        <f t="shared" si="0"/>
        <v>0</v>
      </c>
      <c r="P45" s="272"/>
      <c r="R45"/>
    </row>
    <row r="46" spans="1:18" ht="13.5" thickBot="1">
      <c r="A46" s="570"/>
      <c r="B46" s="557"/>
      <c r="C46" s="537"/>
      <c r="D46" s="555"/>
      <c r="E46" s="555"/>
      <c r="F46" s="537"/>
      <c r="G46" s="541"/>
      <c r="H46" s="541"/>
      <c r="I46" s="241">
        <v>555083427</v>
      </c>
      <c r="J46" s="245">
        <v>173833368</v>
      </c>
      <c r="K46" s="203">
        <f t="shared" si="0"/>
        <v>0.3131662008709188</v>
      </c>
      <c r="P46" s="272"/>
      <c r="R46"/>
    </row>
    <row r="47" spans="1:18" ht="13.5" thickBot="1">
      <c r="A47" s="570"/>
      <c r="B47" s="557"/>
      <c r="C47" s="537"/>
      <c r="D47" s="555"/>
      <c r="E47" s="555"/>
      <c r="F47" s="537"/>
      <c r="G47" s="541"/>
      <c r="H47" s="541"/>
      <c r="I47" s="241">
        <v>540740741</v>
      </c>
      <c r="J47" s="246">
        <v>540740741</v>
      </c>
      <c r="K47" s="203">
        <f t="shared" si="0"/>
        <v>1</v>
      </c>
      <c r="P47" s="272"/>
      <c r="R47"/>
    </row>
    <row r="48" spans="1:18" ht="13.5" thickBot="1">
      <c r="A48" s="570"/>
      <c r="B48" s="557"/>
      <c r="C48" s="537"/>
      <c r="D48" s="555"/>
      <c r="E48" s="555"/>
      <c r="F48" s="537"/>
      <c r="G48" s="541"/>
      <c r="H48" s="541"/>
      <c r="I48" s="210">
        <v>35533643</v>
      </c>
      <c r="J48" s="246">
        <v>9482404</v>
      </c>
      <c r="K48" s="203">
        <f t="shared" si="0"/>
        <v>0.2668570740129291</v>
      </c>
      <c r="P48" s="272"/>
      <c r="R48"/>
    </row>
    <row r="49" spans="1:18" ht="13.5" thickBot="1">
      <c r="A49" s="570"/>
      <c r="B49" s="557"/>
      <c r="C49" s="537"/>
      <c r="D49" s="555"/>
      <c r="E49" s="555"/>
      <c r="F49" s="537"/>
      <c r="G49" s="541"/>
      <c r="H49" s="541"/>
      <c r="I49" s="210">
        <v>210356977</v>
      </c>
      <c r="J49" s="247">
        <v>210356977</v>
      </c>
      <c r="K49" s="203">
        <f t="shared" si="0"/>
        <v>1</v>
      </c>
      <c r="P49" s="272"/>
      <c r="R49"/>
    </row>
    <row r="50" spans="1:18" ht="13.5" thickBot="1">
      <c r="A50" s="570"/>
      <c r="B50" s="557"/>
      <c r="C50" s="537"/>
      <c r="D50" s="555"/>
      <c r="E50" s="555"/>
      <c r="F50" s="537"/>
      <c r="G50" s="541"/>
      <c r="H50" s="541"/>
      <c r="I50" s="248">
        <v>219824298</v>
      </c>
      <c r="J50" s="242">
        <v>219824298</v>
      </c>
      <c r="K50" s="203">
        <f t="shared" si="0"/>
        <v>1</v>
      </c>
      <c r="P50" s="272"/>
      <c r="R50"/>
    </row>
    <row r="51" spans="1:18" ht="13.5" thickBot="1">
      <c r="A51" s="570"/>
      <c r="B51" s="557"/>
      <c r="C51" s="537"/>
      <c r="D51" s="555"/>
      <c r="E51" s="555"/>
      <c r="F51" s="537"/>
      <c r="G51" s="541"/>
      <c r="H51" s="541"/>
      <c r="I51" s="248">
        <v>99801408</v>
      </c>
      <c r="J51" s="246">
        <v>99801408</v>
      </c>
      <c r="K51" s="203">
        <f t="shared" si="0"/>
        <v>1</v>
      </c>
      <c r="P51" s="272"/>
      <c r="R51"/>
    </row>
    <row r="52" spans="1:18" ht="60.75" thickBot="1">
      <c r="A52" s="570"/>
      <c r="B52" s="207" t="s">
        <v>403</v>
      </c>
      <c r="C52" s="537"/>
      <c r="D52" s="225">
        <v>0</v>
      </c>
      <c r="E52" s="225">
        <v>1</v>
      </c>
      <c r="F52" s="208">
        <v>0.25</v>
      </c>
      <c r="G52" s="235">
        <f>F52/E52</f>
        <v>0.25</v>
      </c>
      <c r="H52" s="541"/>
      <c r="I52" s="249">
        <v>450000000</v>
      </c>
      <c r="J52" s="246">
        <v>0</v>
      </c>
      <c r="K52" s="203">
        <v>0</v>
      </c>
      <c r="P52" s="272"/>
      <c r="R52"/>
    </row>
    <row r="53" spans="1:18" ht="72.75" thickBot="1">
      <c r="A53" s="570"/>
      <c r="B53" s="207" t="s">
        <v>261</v>
      </c>
      <c r="C53" s="537"/>
      <c r="D53" s="208">
        <v>0</v>
      </c>
      <c r="E53" s="208">
        <v>1</v>
      </c>
      <c r="F53" s="208">
        <v>0.5</v>
      </c>
      <c r="G53" s="209">
        <f>F53/E53</f>
        <v>0.5</v>
      </c>
      <c r="H53" s="541"/>
      <c r="I53" s="250">
        <v>9000000</v>
      </c>
      <c r="J53" s="251">
        <v>9000000</v>
      </c>
      <c r="K53" s="203">
        <f t="shared" si="0"/>
        <v>1</v>
      </c>
      <c r="P53" s="272"/>
      <c r="R53"/>
    </row>
    <row r="54" spans="1:18" ht="36.75" thickBot="1">
      <c r="A54" s="570"/>
      <c r="B54" s="207" t="s">
        <v>262</v>
      </c>
      <c r="C54" s="537"/>
      <c r="D54" s="208">
        <v>0</v>
      </c>
      <c r="E54" s="208">
        <v>1</v>
      </c>
      <c r="F54" s="208">
        <v>0.5</v>
      </c>
      <c r="G54" s="209">
        <f>F54/E54</f>
        <v>0.5</v>
      </c>
      <c r="H54" s="541"/>
      <c r="I54" s="252">
        <v>58000000</v>
      </c>
      <c r="J54" s="253">
        <v>0</v>
      </c>
      <c r="K54" s="203">
        <f t="shared" si="0"/>
        <v>0</v>
      </c>
      <c r="P54" s="272"/>
      <c r="R54"/>
    </row>
    <row r="55" spans="1:18" ht="144.75" thickBot="1">
      <c r="A55" s="570"/>
      <c r="B55" s="254" t="s">
        <v>263</v>
      </c>
      <c r="C55" s="537"/>
      <c r="D55" s="208">
        <v>0</v>
      </c>
      <c r="E55" s="208">
        <v>2</v>
      </c>
      <c r="F55" s="208">
        <v>2</v>
      </c>
      <c r="G55" s="209">
        <f>F55/E55</f>
        <v>1</v>
      </c>
      <c r="H55" s="541"/>
      <c r="I55" s="241">
        <v>77953145</v>
      </c>
      <c r="J55" s="241">
        <f>42457349+35495796</f>
        <v>77953145</v>
      </c>
      <c r="K55" s="203">
        <f t="shared" si="0"/>
        <v>1</v>
      </c>
      <c r="P55" s="272"/>
      <c r="R55"/>
    </row>
    <row r="56" spans="1:18" ht="120.75" thickBot="1">
      <c r="A56" s="570"/>
      <c r="B56" s="207" t="s">
        <v>408</v>
      </c>
      <c r="C56" s="537"/>
      <c r="D56" s="208">
        <v>4</v>
      </c>
      <c r="E56" s="208">
        <v>4</v>
      </c>
      <c r="F56" s="208">
        <v>4</v>
      </c>
      <c r="G56" s="209">
        <v>0.6</v>
      </c>
      <c r="H56" s="541"/>
      <c r="I56" s="241">
        <f>62520739-4387153-898274</f>
        <v>57235312</v>
      </c>
      <c r="J56" s="240">
        <f>10200000+10200000+13200000+10200000+6233333</f>
        <v>50033333</v>
      </c>
      <c r="K56" s="203">
        <f t="shared" si="0"/>
        <v>0.8741689570941799</v>
      </c>
      <c r="P56" s="272"/>
      <c r="R56"/>
    </row>
    <row r="57" spans="1:18" ht="120.75" thickBot="1">
      <c r="A57" s="570"/>
      <c r="B57" s="255" t="s">
        <v>264</v>
      </c>
      <c r="C57" s="537"/>
      <c r="D57" s="208">
        <v>1</v>
      </c>
      <c r="E57" s="208">
        <v>1</v>
      </c>
      <c r="F57" s="208">
        <v>1</v>
      </c>
      <c r="G57" s="209">
        <f>F57/E57</f>
        <v>1</v>
      </c>
      <c r="H57" s="541"/>
      <c r="I57" s="210">
        <v>10000000</v>
      </c>
      <c r="J57" s="240">
        <v>10000000</v>
      </c>
      <c r="K57" s="203">
        <f t="shared" si="0"/>
        <v>1</v>
      </c>
      <c r="P57" s="272"/>
      <c r="R57"/>
    </row>
    <row r="58" spans="1:18" ht="72.75" thickBot="1">
      <c r="A58" s="570"/>
      <c r="B58" s="255" t="s">
        <v>265</v>
      </c>
      <c r="C58" s="537"/>
      <c r="D58" s="208">
        <v>1</v>
      </c>
      <c r="E58" s="208">
        <v>1</v>
      </c>
      <c r="F58" s="208">
        <v>1</v>
      </c>
      <c r="G58" s="209">
        <f>F58/E58</f>
        <v>1</v>
      </c>
      <c r="H58" s="541"/>
      <c r="I58" s="210">
        <v>4300000</v>
      </c>
      <c r="J58" s="242">
        <v>2858126.04</v>
      </c>
      <c r="K58" s="203">
        <f t="shared" si="0"/>
        <v>0.6646804744186047</v>
      </c>
      <c r="P58" s="272"/>
      <c r="R58"/>
    </row>
    <row r="59" spans="1:18" ht="72.75" thickBot="1">
      <c r="A59" s="570"/>
      <c r="B59" s="255" t="s">
        <v>266</v>
      </c>
      <c r="C59" s="538"/>
      <c r="D59" s="208">
        <v>0</v>
      </c>
      <c r="E59" s="208">
        <v>1</v>
      </c>
      <c r="F59" s="208">
        <v>0.5</v>
      </c>
      <c r="G59" s="209">
        <f>F59/E59</f>
        <v>0.5</v>
      </c>
      <c r="H59" s="542"/>
      <c r="I59" s="210">
        <v>19600000</v>
      </c>
      <c r="J59" s="242">
        <f>19600000</f>
        <v>19600000</v>
      </c>
      <c r="K59" s="203">
        <f t="shared" si="0"/>
        <v>1</v>
      </c>
      <c r="P59" s="272"/>
      <c r="R59"/>
    </row>
    <row r="60" spans="1:18" ht="48.75" thickBot="1">
      <c r="A60" s="73" t="s">
        <v>327</v>
      </c>
      <c r="B60" s="226" t="s">
        <v>349</v>
      </c>
      <c r="C60" s="226">
        <v>1</v>
      </c>
      <c r="D60" s="215">
        <v>0</v>
      </c>
      <c r="E60" s="208" t="s">
        <v>218</v>
      </c>
      <c r="F60" s="208"/>
      <c r="G60" s="209">
        <v>0</v>
      </c>
      <c r="H60" s="267"/>
      <c r="I60" s="210">
        <v>0</v>
      </c>
      <c r="J60" s="211"/>
      <c r="K60" s="203" t="e">
        <f t="shared" si="0"/>
        <v>#DIV/0!</v>
      </c>
      <c r="P60" s="272"/>
      <c r="R60"/>
    </row>
    <row r="61" spans="1:18" ht="13.5" thickBot="1">
      <c r="A61" s="563" t="s">
        <v>166</v>
      </c>
      <c r="B61" s="73" t="s">
        <v>328</v>
      </c>
      <c r="C61" s="536">
        <v>2</v>
      </c>
      <c r="D61" s="215">
        <v>0</v>
      </c>
      <c r="E61" s="208" t="s">
        <v>218</v>
      </c>
      <c r="F61" s="208"/>
      <c r="G61" s="209">
        <v>0</v>
      </c>
      <c r="H61" s="267"/>
      <c r="I61" s="210">
        <v>0</v>
      </c>
      <c r="J61" s="211"/>
      <c r="K61" s="203" t="e">
        <f t="shared" si="0"/>
        <v>#DIV/0!</v>
      </c>
      <c r="P61" s="272"/>
      <c r="R61"/>
    </row>
    <row r="62" spans="1:18" ht="13.5" thickBot="1">
      <c r="A62" s="563"/>
      <c r="B62" s="73" t="s">
        <v>329</v>
      </c>
      <c r="C62" s="538"/>
      <c r="D62" s="215">
        <v>0</v>
      </c>
      <c r="E62" s="208" t="s">
        <v>218</v>
      </c>
      <c r="F62" s="208"/>
      <c r="G62" s="209">
        <v>0</v>
      </c>
      <c r="H62" s="267"/>
      <c r="I62" s="210">
        <v>0</v>
      </c>
      <c r="J62" s="211"/>
      <c r="K62" s="203" t="e">
        <f t="shared" si="0"/>
        <v>#DIV/0!</v>
      </c>
      <c r="P62" s="272"/>
      <c r="R62"/>
    </row>
    <row r="63" spans="1:18" ht="36.75" thickBot="1">
      <c r="A63" s="555" t="s">
        <v>216</v>
      </c>
      <c r="B63" s="73" t="s">
        <v>348</v>
      </c>
      <c r="C63" s="536">
        <v>7</v>
      </c>
      <c r="D63" s="215">
        <v>0</v>
      </c>
      <c r="E63" s="208" t="s">
        <v>218</v>
      </c>
      <c r="F63" s="208"/>
      <c r="G63" s="209">
        <v>0</v>
      </c>
      <c r="H63" s="540">
        <v>0.475</v>
      </c>
      <c r="I63" s="210">
        <v>0</v>
      </c>
      <c r="J63" s="211"/>
      <c r="K63" s="203" t="e">
        <f t="shared" si="0"/>
        <v>#DIV/0!</v>
      </c>
      <c r="P63" s="272"/>
      <c r="R63"/>
    </row>
    <row r="64" spans="1:18" ht="13.5" thickBot="1">
      <c r="A64" s="555"/>
      <c r="B64" s="565" t="s">
        <v>410</v>
      </c>
      <c r="C64" s="537"/>
      <c r="D64" s="566">
        <v>0</v>
      </c>
      <c r="E64" s="537" t="s">
        <v>411</v>
      </c>
      <c r="F64" s="555">
        <v>0</v>
      </c>
      <c r="G64" s="540">
        <v>0.5</v>
      </c>
      <c r="H64" s="541"/>
      <c r="I64" s="256">
        <f>802122513</f>
        <v>802122513</v>
      </c>
      <c r="J64" s="257">
        <v>0</v>
      </c>
      <c r="K64" s="203">
        <f t="shared" si="0"/>
        <v>0</v>
      </c>
      <c r="P64" s="272"/>
      <c r="R64"/>
    </row>
    <row r="65" spans="1:18" ht="13.5" thickBot="1">
      <c r="A65" s="555"/>
      <c r="B65" s="565"/>
      <c r="C65" s="537"/>
      <c r="D65" s="566"/>
      <c r="E65" s="537"/>
      <c r="F65" s="555"/>
      <c r="G65" s="541"/>
      <c r="H65" s="541"/>
      <c r="I65" s="256">
        <v>622923023</v>
      </c>
      <c r="J65" s="257">
        <v>0</v>
      </c>
      <c r="K65" s="203">
        <f t="shared" si="0"/>
        <v>0</v>
      </c>
      <c r="P65" s="272"/>
      <c r="R65"/>
    </row>
    <row r="66" spans="1:18" ht="13.5" thickBot="1">
      <c r="A66" s="555"/>
      <c r="B66" s="565"/>
      <c r="C66" s="537"/>
      <c r="D66" s="567"/>
      <c r="E66" s="538"/>
      <c r="F66" s="555"/>
      <c r="G66" s="561"/>
      <c r="H66" s="541"/>
      <c r="I66" s="210">
        <v>311098365</v>
      </c>
      <c r="J66" s="211">
        <v>0</v>
      </c>
      <c r="K66" s="203">
        <f t="shared" si="0"/>
        <v>0</v>
      </c>
      <c r="P66" s="272"/>
      <c r="R66"/>
    </row>
    <row r="67" spans="1:18" ht="72.75" thickBot="1">
      <c r="A67" s="555"/>
      <c r="B67" s="216" t="s">
        <v>280</v>
      </c>
      <c r="C67" s="537"/>
      <c r="D67" s="208">
        <v>0</v>
      </c>
      <c r="E67" s="208">
        <v>2000</v>
      </c>
      <c r="F67" s="208">
        <v>0</v>
      </c>
      <c r="G67" s="209">
        <f>F67/E67</f>
        <v>0</v>
      </c>
      <c r="H67" s="541"/>
      <c r="I67" s="210">
        <v>3511730085</v>
      </c>
      <c r="J67" s="258">
        <v>0</v>
      </c>
      <c r="K67" s="203">
        <f t="shared" si="0"/>
        <v>0</v>
      </c>
      <c r="P67" s="272"/>
      <c r="R67"/>
    </row>
    <row r="68" spans="1:18" ht="72.75" thickBot="1">
      <c r="A68" s="555"/>
      <c r="B68" s="207" t="s">
        <v>281</v>
      </c>
      <c r="C68" s="537"/>
      <c r="D68" s="208">
        <v>0</v>
      </c>
      <c r="E68" s="208">
        <v>1</v>
      </c>
      <c r="F68" s="208">
        <v>1</v>
      </c>
      <c r="G68" s="209">
        <f>F68/E68</f>
        <v>1</v>
      </c>
      <c r="H68" s="541"/>
      <c r="I68" s="210">
        <v>14614822.95</v>
      </c>
      <c r="J68" s="240">
        <v>14614822.95</v>
      </c>
      <c r="K68" s="203">
        <f t="shared" si="0"/>
        <v>1</v>
      </c>
      <c r="P68" s="272"/>
      <c r="R68"/>
    </row>
    <row r="69" spans="1:18" ht="24.75" thickBot="1">
      <c r="A69" s="555"/>
      <c r="B69" s="207" t="s">
        <v>412</v>
      </c>
      <c r="C69" s="537"/>
      <c r="D69" s="208">
        <v>0</v>
      </c>
      <c r="E69" s="208">
        <v>1</v>
      </c>
      <c r="F69" s="208">
        <v>0.2</v>
      </c>
      <c r="G69" s="209">
        <f>F69/E69</f>
        <v>0.2</v>
      </c>
      <c r="H69" s="541"/>
      <c r="I69" s="238">
        <v>8318130</v>
      </c>
      <c r="J69" s="259">
        <v>0</v>
      </c>
      <c r="K69" s="203">
        <f t="shared" si="0"/>
        <v>0</v>
      </c>
      <c r="P69" s="272"/>
      <c r="R69"/>
    </row>
    <row r="70" spans="1:18" ht="84.75" thickBot="1">
      <c r="A70" s="555"/>
      <c r="B70" s="260" t="s">
        <v>319</v>
      </c>
      <c r="C70" s="537"/>
      <c r="D70" s="208">
        <v>0</v>
      </c>
      <c r="E70" s="261">
        <v>1</v>
      </c>
      <c r="F70" s="261">
        <v>1</v>
      </c>
      <c r="G70" s="200">
        <v>0.15</v>
      </c>
      <c r="H70" s="541"/>
      <c r="I70" s="244">
        <f>(31187683+168912317+156454991)-30714495+5906758</f>
        <v>331747254</v>
      </c>
      <c r="J70" s="262">
        <v>0</v>
      </c>
      <c r="K70" s="203"/>
      <c r="P70" s="272"/>
      <c r="R70"/>
    </row>
    <row r="71" spans="1:18" ht="13.5" thickBot="1">
      <c r="A71" s="555"/>
      <c r="B71" s="563" t="s">
        <v>320</v>
      </c>
      <c r="C71" s="537"/>
      <c r="D71" s="555">
        <v>0</v>
      </c>
      <c r="E71" s="564">
        <v>1</v>
      </c>
      <c r="F71" s="564">
        <v>1</v>
      </c>
      <c r="G71" s="545">
        <f>F71/E71</f>
        <v>1</v>
      </c>
      <c r="H71" s="541"/>
      <c r="I71" s="244">
        <v>30714495</v>
      </c>
      <c r="J71" s="240">
        <v>29504331</v>
      </c>
      <c r="K71" s="203">
        <f t="shared" si="0"/>
        <v>0.9605995801005356</v>
      </c>
      <c r="P71" s="272"/>
      <c r="R71"/>
    </row>
    <row r="72" spans="1:18" ht="13.5" thickBot="1">
      <c r="A72" s="555"/>
      <c r="B72" s="563"/>
      <c r="C72" s="537"/>
      <c r="D72" s="555"/>
      <c r="E72" s="564"/>
      <c r="F72" s="564"/>
      <c r="G72" s="541"/>
      <c r="H72" s="541"/>
      <c r="I72" s="242">
        <v>383949940</v>
      </c>
      <c r="J72" s="240">
        <v>366547471</v>
      </c>
      <c r="K72" s="203">
        <f t="shared" si="0"/>
        <v>0.9546751615588219</v>
      </c>
      <c r="P72" s="272"/>
      <c r="R72"/>
    </row>
    <row r="73" spans="1:18" ht="13.5" thickBot="1">
      <c r="A73" s="555"/>
      <c r="B73" s="563"/>
      <c r="C73" s="538"/>
      <c r="D73" s="555"/>
      <c r="E73" s="564"/>
      <c r="F73" s="564"/>
      <c r="G73" s="561"/>
      <c r="H73" s="541"/>
      <c r="I73" s="244">
        <f>(400000000+898036138)-I72-514086198</f>
        <v>400000000</v>
      </c>
      <c r="J73" s="244">
        <v>0</v>
      </c>
      <c r="K73" s="203">
        <f t="shared" si="0"/>
        <v>0</v>
      </c>
      <c r="P73" s="272"/>
      <c r="R73"/>
    </row>
    <row r="74" spans="1:18" ht="84.75" thickBot="1">
      <c r="A74" s="73" t="s">
        <v>330</v>
      </c>
      <c r="B74" s="239" t="s">
        <v>347</v>
      </c>
      <c r="C74" s="239">
        <v>1</v>
      </c>
      <c r="D74" s="208">
        <v>0</v>
      </c>
      <c r="E74" s="208">
        <v>1</v>
      </c>
      <c r="F74" s="208">
        <v>0.04</v>
      </c>
      <c r="G74" s="209">
        <f>F74/E74</f>
        <v>0.04</v>
      </c>
      <c r="H74" s="267">
        <v>0.04</v>
      </c>
      <c r="I74" s="210">
        <v>80000000</v>
      </c>
      <c r="J74" s="211">
        <v>0</v>
      </c>
      <c r="K74" s="203">
        <f aca="true" t="shared" si="2" ref="K74:K111">J74/I74</f>
        <v>0</v>
      </c>
      <c r="P74" s="272"/>
      <c r="R74"/>
    </row>
    <row r="75" spans="1:18" ht="13.5" thickBot="1">
      <c r="A75" s="520" t="s">
        <v>172</v>
      </c>
      <c r="B75" s="557" t="s">
        <v>290</v>
      </c>
      <c r="C75" s="539">
        <v>18</v>
      </c>
      <c r="D75" s="555">
        <v>0</v>
      </c>
      <c r="E75" s="555">
        <v>1</v>
      </c>
      <c r="F75" s="555">
        <v>0.7</v>
      </c>
      <c r="G75" s="545">
        <f>F75/E75</f>
        <v>0.7</v>
      </c>
      <c r="H75" s="540">
        <v>0.5713</v>
      </c>
      <c r="I75" s="210">
        <f>690655652</f>
        <v>690655652</v>
      </c>
      <c r="J75" s="246">
        <v>684127563</v>
      </c>
      <c r="K75" s="203">
        <f t="shared" si="2"/>
        <v>0.9905479829476586</v>
      </c>
      <c r="P75" s="272"/>
      <c r="R75"/>
    </row>
    <row r="76" spans="1:18" ht="13.5" thickBot="1">
      <c r="A76" s="520"/>
      <c r="B76" s="557"/>
      <c r="C76" s="531"/>
      <c r="D76" s="555"/>
      <c r="E76" s="555"/>
      <c r="F76" s="555"/>
      <c r="G76" s="561"/>
      <c r="H76" s="541"/>
      <c r="I76" s="210">
        <v>10555824</v>
      </c>
      <c r="J76" s="242">
        <v>0</v>
      </c>
      <c r="K76" s="203">
        <f t="shared" si="2"/>
        <v>0</v>
      </c>
      <c r="P76" s="272"/>
      <c r="R76"/>
    </row>
    <row r="77" spans="1:18" ht="60.75" thickBot="1">
      <c r="A77" s="520"/>
      <c r="B77" s="207" t="s">
        <v>291</v>
      </c>
      <c r="C77" s="531"/>
      <c r="D77" s="208">
        <v>0</v>
      </c>
      <c r="E77" s="208">
        <v>5</v>
      </c>
      <c r="F77" s="208">
        <v>0</v>
      </c>
      <c r="G77" s="209">
        <v>0.5</v>
      </c>
      <c r="H77" s="541"/>
      <c r="I77" s="210">
        <v>200000000</v>
      </c>
      <c r="J77" s="242">
        <v>0</v>
      </c>
      <c r="K77" s="203">
        <f t="shared" si="2"/>
        <v>0</v>
      </c>
      <c r="P77" s="272"/>
      <c r="R77"/>
    </row>
    <row r="78" spans="1:18" ht="36.75" thickBot="1">
      <c r="A78" s="520"/>
      <c r="B78" s="207" t="s">
        <v>292</v>
      </c>
      <c r="C78" s="531"/>
      <c r="D78" s="208">
        <v>0</v>
      </c>
      <c r="E78" s="208">
        <v>1</v>
      </c>
      <c r="F78" s="208">
        <v>0.5</v>
      </c>
      <c r="G78" s="209">
        <f>F78/E78</f>
        <v>0.5</v>
      </c>
      <c r="H78" s="541"/>
      <c r="I78" s="210">
        <v>408000000</v>
      </c>
      <c r="J78" s="242">
        <v>0</v>
      </c>
      <c r="K78" s="203">
        <f t="shared" si="2"/>
        <v>0</v>
      </c>
      <c r="P78" s="272"/>
      <c r="R78"/>
    </row>
    <row r="79" spans="1:18" ht="72.75" thickBot="1">
      <c r="A79" s="520"/>
      <c r="B79" s="207" t="s">
        <v>293</v>
      </c>
      <c r="C79" s="531"/>
      <c r="D79" s="208">
        <v>0</v>
      </c>
      <c r="E79" s="208">
        <v>1</v>
      </c>
      <c r="F79" s="208">
        <v>1</v>
      </c>
      <c r="G79" s="209">
        <f>F79/E79</f>
        <v>1</v>
      </c>
      <c r="H79" s="541"/>
      <c r="I79" s="210">
        <v>55734747.63</v>
      </c>
      <c r="J79" s="247">
        <v>55669152</v>
      </c>
      <c r="K79" s="203">
        <f t="shared" si="2"/>
        <v>0.9988230747820828</v>
      </c>
      <c r="P79" s="272"/>
      <c r="R79"/>
    </row>
    <row r="80" spans="1:18" ht="132.75" thickBot="1">
      <c r="A80" s="520"/>
      <c r="B80" s="207" t="s">
        <v>302</v>
      </c>
      <c r="C80" s="531"/>
      <c r="D80" s="208">
        <v>0</v>
      </c>
      <c r="E80" s="208">
        <v>2</v>
      </c>
      <c r="F80" s="208">
        <v>2</v>
      </c>
      <c r="G80" s="209">
        <v>0.6</v>
      </c>
      <c r="H80" s="541"/>
      <c r="I80" s="256">
        <f>74800000</f>
        <v>74800000</v>
      </c>
      <c r="J80" s="240">
        <f>21000000+4800000+8050000+19200000+16800000+12950000-12959373</f>
        <v>69840627</v>
      </c>
      <c r="K80" s="203">
        <f t="shared" si="2"/>
        <v>0.9336982219251337</v>
      </c>
      <c r="P80" s="272"/>
      <c r="R80"/>
    </row>
    <row r="81" spans="1:18" ht="132.75" thickBot="1">
      <c r="A81" s="520"/>
      <c r="B81" s="207" t="s">
        <v>298</v>
      </c>
      <c r="C81" s="531"/>
      <c r="D81" s="208">
        <v>0</v>
      </c>
      <c r="E81" s="208">
        <v>4</v>
      </c>
      <c r="F81" s="208">
        <v>3</v>
      </c>
      <c r="G81" s="209">
        <v>0.6</v>
      </c>
      <c r="H81" s="541"/>
      <c r="I81" s="256">
        <f>74800000</f>
        <v>74800000</v>
      </c>
      <c r="J81" s="240">
        <f>11400000+10200000+13200000+7600000+5100000+6800000+8066666-12167565</f>
        <v>50199101</v>
      </c>
      <c r="K81" s="203">
        <f t="shared" si="2"/>
        <v>0.6711109759358289</v>
      </c>
      <c r="P81" s="272"/>
      <c r="R81"/>
    </row>
    <row r="82" spans="1:18" ht="72.75" thickBot="1">
      <c r="A82" s="520"/>
      <c r="B82" s="207" t="s">
        <v>299</v>
      </c>
      <c r="C82" s="531"/>
      <c r="D82" s="208">
        <v>0</v>
      </c>
      <c r="E82" s="208">
        <v>1</v>
      </c>
      <c r="F82" s="208">
        <v>0.5</v>
      </c>
      <c r="G82" s="209">
        <f>F82/E82</f>
        <v>0.5</v>
      </c>
      <c r="H82" s="541"/>
      <c r="I82" s="210">
        <f>46600000</f>
        <v>46600000</v>
      </c>
      <c r="J82" s="211">
        <v>0</v>
      </c>
      <c r="K82" s="203">
        <f t="shared" si="2"/>
        <v>0</v>
      </c>
      <c r="P82" s="272"/>
      <c r="R82"/>
    </row>
    <row r="83" spans="1:18" ht="60.75" thickBot="1">
      <c r="A83" s="520"/>
      <c r="B83" s="207" t="s">
        <v>300</v>
      </c>
      <c r="C83" s="531"/>
      <c r="D83" s="208">
        <v>0</v>
      </c>
      <c r="E83" s="208">
        <v>1</v>
      </c>
      <c r="F83" s="208">
        <v>1</v>
      </c>
      <c r="G83" s="209">
        <f>F83/E83</f>
        <v>1</v>
      </c>
      <c r="H83" s="541"/>
      <c r="I83" s="210">
        <v>50000000</v>
      </c>
      <c r="J83" s="242">
        <v>50000000</v>
      </c>
      <c r="K83" s="203">
        <f t="shared" si="2"/>
        <v>1</v>
      </c>
      <c r="P83" s="272"/>
      <c r="R83"/>
    </row>
    <row r="84" spans="1:18" ht="36.75" thickBot="1">
      <c r="A84" s="520"/>
      <c r="B84" s="207" t="s">
        <v>424</v>
      </c>
      <c r="C84" s="531"/>
      <c r="D84" s="208">
        <v>0</v>
      </c>
      <c r="E84" s="208">
        <v>1</v>
      </c>
      <c r="F84" s="208">
        <v>1</v>
      </c>
      <c r="G84" s="209">
        <v>0.25</v>
      </c>
      <c r="H84" s="541"/>
      <c r="I84" s="263">
        <v>71501457</v>
      </c>
      <c r="J84" s="247">
        <v>0</v>
      </c>
      <c r="K84" s="203">
        <v>0</v>
      </c>
      <c r="P84" s="272"/>
      <c r="R84"/>
    </row>
    <row r="85" spans="1:18" ht="120.75" thickBot="1">
      <c r="A85" s="520"/>
      <c r="B85" s="207" t="s">
        <v>301</v>
      </c>
      <c r="C85" s="531"/>
      <c r="D85" s="208">
        <v>0</v>
      </c>
      <c r="E85" s="208">
        <v>1</v>
      </c>
      <c r="F85" s="208">
        <v>1</v>
      </c>
      <c r="G85" s="209">
        <v>0.73</v>
      </c>
      <c r="H85" s="541"/>
      <c r="I85" s="210">
        <f>33000000+2200000</f>
        <v>35200000</v>
      </c>
      <c r="J85" s="247">
        <f>19200000+15633333</f>
        <v>34833333</v>
      </c>
      <c r="K85" s="203">
        <f t="shared" si="2"/>
        <v>0.9895833238636363</v>
      </c>
      <c r="P85" s="272"/>
      <c r="R85"/>
    </row>
    <row r="86" spans="1:18" ht="48.75" thickBot="1">
      <c r="A86" s="520"/>
      <c r="B86" s="207" t="s">
        <v>303</v>
      </c>
      <c r="C86" s="531"/>
      <c r="D86" s="208">
        <v>0</v>
      </c>
      <c r="E86" s="208">
        <v>3</v>
      </c>
      <c r="F86" s="208">
        <f>0.3</f>
        <v>0.3</v>
      </c>
      <c r="G86" s="209">
        <v>0.3</v>
      </c>
      <c r="H86" s="541"/>
      <c r="I86" s="210">
        <v>90709428.36999893</v>
      </c>
      <c r="J86" s="210">
        <v>0</v>
      </c>
      <c r="K86" s="203">
        <f t="shared" si="2"/>
        <v>0</v>
      </c>
      <c r="P86" s="272"/>
      <c r="R86"/>
    </row>
    <row r="87" spans="1:18" ht="132.75" thickBot="1">
      <c r="A87" s="520"/>
      <c r="B87" s="207" t="s">
        <v>350</v>
      </c>
      <c r="C87" s="531"/>
      <c r="D87" s="208">
        <v>0</v>
      </c>
      <c r="E87" s="208">
        <v>2</v>
      </c>
      <c r="F87" s="208">
        <v>2</v>
      </c>
      <c r="G87" s="209">
        <v>0.73</v>
      </c>
      <c r="H87" s="541"/>
      <c r="I87" s="210">
        <f>61600000</f>
        <v>61600000</v>
      </c>
      <c r="J87" s="242">
        <f>42000000+16800000</f>
        <v>58800000</v>
      </c>
      <c r="K87" s="203">
        <f t="shared" si="2"/>
        <v>0.9545454545454546</v>
      </c>
      <c r="P87" s="272"/>
      <c r="R87"/>
    </row>
    <row r="88" spans="1:18" ht="132.75" thickBot="1">
      <c r="A88" s="520"/>
      <c r="B88" s="207" t="s">
        <v>302</v>
      </c>
      <c r="C88" s="531"/>
      <c r="D88" s="215">
        <v>0</v>
      </c>
      <c r="E88" s="208" t="s">
        <v>218</v>
      </c>
      <c r="F88" s="208"/>
      <c r="G88" s="209">
        <v>0</v>
      </c>
      <c r="H88" s="541"/>
      <c r="I88" s="242">
        <v>0</v>
      </c>
      <c r="J88" s="240"/>
      <c r="K88" s="203" t="e">
        <f t="shared" si="2"/>
        <v>#DIV/0!</v>
      </c>
      <c r="P88" s="272"/>
      <c r="R88"/>
    </row>
    <row r="89" spans="1:18" ht="132.75" thickBot="1">
      <c r="A89" s="520"/>
      <c r="B89" s="207" t="s">
        <v>302</v>
      </c>
      <c r="C89" s="531"/>
      <c r="D89" s="215">
        <v>0</v>
      </c>
      <c r="E89" s="208" t="s">
        <v>218</v>
      </c>
      <c r="F89" s="208"/>
      <c r="G89" s="209">
        <v>0</v>
      </c>
      <c r="H89" s="541"/>
      <c r="I89" s="210">
        <v>0</v>
      </c>
      <c r="J89" s="211"/>
      <c r="K89" s="203" t="e">
        <f t="shared" si="2"/>
        <v>#DIV/0!</v>
      </c>
      <c r="P89" s="272"/>
      <c r="R89"/>
    </row>
    <row r="90" spans="1:18" ht="132.75" thickBot="1">
      <c r="A90" s="520"/>
      <c r="B90" s="207" t="s">
        <v>304</v>
      </c>
      <c r="C90" s="531"/>
      <c r="D90" s="208">
        <v>0</v>
      </c>
      <c r="E90" s="208">
        <v>2</v>
      </c>
      <c r="F90" s="208">
        <v>2</v>
      </c>
      <c r="G90" s="209">
        <v>0.73</v>
      </c>
      <c r="H90" s="541"/>
      <c r="I90" s="210">
        <f>51000000</f>
        <v>51000000</v>
      </c>
      <c r="J90" s="242">
        <f>14000000+11700000+9333333</f>
        <v>35033333</v>
      </c>
      <c r="K90" s="203">
        <f t="shared" si="2"/>
        <v>0.6869280980392157</v>
      </c>
      <c r="P90" s="272"/>
      <c r="R90"/>
    </row>
    <row r="91" spans="1:18" ht="84.75" thickBot="1">
      <c r="A91" s="520"/>
      <c r="B91" s="207" t="s">
        <v>305</v>
      </c>
      <c r="C91" s="531"/>
      <c r="D91" s="208">
        <v>0</v>
      </c>
      <c r="E91" s="208">
        <v>1</v>
      </c>
      <c r="F91" s="208">
        <v>1</v>
      </c>
      <c r="G91" s="209">
        <f>F91/E91</f>
        <v>1</v>
      </c>
      <c r="H91" s="541"/>
      <c r="I91" s="210">
        <v>15400000</v>
      </c>
      <c r="J91" s="211">
        <v>15400000</v>
      </c>
      <c r="K91" s="203">
        <f t="shared" si="2"/>
        <v>1</v>
      </c>
      <c r="P91" s="272"/>
      <c r="R91"/>
    </row>
    <row r="92" spans="1:18" ht="48.75" thickBot="1">
      <c r="A92" s="520"/>
      <c r="B92" s="207" t="s">
        <v>306</v>
      </c>
      <c r="C92" s="531"/>
      <c r="D92" s="208">
        <v>0</v>
      </c>
      <c r="E92" s="208">
        <v>4</v>
      </c>
      <c r="F92" s="208">
        <v>0</v>
      </c>
      <c r="G92" s="209">
        <f>F92/E92</f>
        <v>0</v>
      </c>
      <c r="H92" s="541"/>
      <c r="I92" s="210">
        <v>178600000</v>
      </c>
      <c r="J92" s="242">
        <v>0</v>
      </c>
      <c r="K92" s="203">
        <f t="shared" si="2"/>
        <v>0</v>
      </c>
      <c r="P92" s="272"/>
      <c r="R92"/>
    </row>
    <row r="93" spans="1:18" ht="72.75" thickBot="1">
      <c r="A93" s="520"/>
      <c r="B93" s="207" t="s">
        <v>307</v>
      </c>
      <c r="C93" s="532"/>
      <c r="D93" s="208">
        <v>0</v>
      </c>
      <c r="E93" s="208">
        <v>1</v>
      </c>
      <c r="F93" s="208">
        <v>0</v>
      </c>
      <c r="G93" s="209">
        <f>F93/E93</f>
        <v>0</v>
      </c>
      <c r="H93" s="542"/>
      <c r="I93" s="210">
        <v>30000000</v>
      </c>
      <c r="J93" s="211">
        <v>0</v>
      </c>
      <c r="K93" s="203">
        <f t="shared" si="2"/>
        <v>0</v>
      </c>
      <c r="P93" s="272"/>
      <c r="R93"/>
    </row>
    <row r="94" spans="1:18" ht="60.75" thickBot="1">
      <c r="A94" s="73" t="s">
        <v>337</v>
      </c>
      <c r="B94" s="73" t="s">
        <v>351</v>
      </c>
      <c r="C94" s="73">
        <v>1</v>
      </c>
      <c r="D94" s="208">
        <v>0</v>
      </c>
      <c r="E94" s="208" t="s">
        <v>218</v>
      </c>
      <c r="F94" s="208"/>
      <c r="G94" s="209">
        <v>0</v>
      </c>
      <c r="H94" s="267"/>
      <c r="I94" s="210">
        <v>0</v>
      </c>
      <c r="J94" s="211"/>
      <c r="K94" s="203" t="e">
        <f t="shared" si="2"/>
        <v>#DIV/0!</v>
      </c>
      <c r="P94" s="272"/>
      <c r="R94"/>
    </row>
    <row r="95" spans="1:18" ht="48.75" thickBot="1">
      <c r="A95" s="562" t="s">
        <v>217</v>
      </c>
      <c r="B95" s="207" t="s">
        <v>309</v>
      </c>
      <c r="C95" s="539">
        <v>4</v>
      </c>
      <c r="D95" s="208">
        <v>0</v>
      </c>
      <c r="E95" s="208">
        <v>7</v>
      </c>
      <c r="F95" s="208">
        <v>0.3</v>
      </c>
      <c r="G95" s="209">
        <v>0.3</v>
      </c>
      <c r="H95" s="540">
        <v>0.2575</v>
      </c>
      <c r="I95" s="210">
        <v>120000000</v>
      </c>
      <c r="J95" s="242">
        <v>0</v>
      </c>
      <c r="K95" s="203">
        <f t="shared" si="2"/>
        <v>0</v>
      </c>
      <c r="P95" s="272"/>
      <c r="R95"/>
    </row>
    <row r="96" spans="1:18" ht="132.75" thickBot="1">
      <c r="A96" s="562"/>
      <c r="B96" s="207" t="s">
        <v>310</v>
      </c>
      <c r="C96" s="531"/>
      <c r="D96" s="208">
        <v>0</v>
      </c>
      <c r="E96" s="208">
        <v>2</v>
      </c>
      <c r="F96" s="208">
        <v>2</v>
      </c>
      <c r="G96" s="209">
        <v>0.73</v>
      </c>
      <c r="H96" s="541"/>
      <c r="I96" s="210">
        <v>30000000</v>
      </c>
      <c r="J96" s="242">
        <f>11200000+11200000</f>
        <v>22400000</v>
      </c>
      <c r="K96" s="203">
        <f t="shared" si="2"/>
        <v>0.7466666666666667</v>
      </c>
      <c r="P96" s="272"/>
      <c r="R96"/>
    </row>
    <row r="97" spans="1:18" ht="36.75" thickBot="1">
      <c r="A97" s="562"/>
      <c r="B97" s="264" t="s">
        <v>311</v>
      </c>
      <c r="C97" s="531"/>
      <c r="D97" s="208">
        <v>0</v>
      </c>
      <c r="E97" s="208">
        <v>0</v>
      </c>
      <c r="F97" s="208">
        <v>0</v>
      </c>
      <c r="G97" s="209">
        <v>0</v>
      </c>
      <c r="H97" s="541"/>
      <c r="I97" s="210">
        <v>0</v>
      </c>
      <c r="J97" s="211"/>
      <c r="K97" s="203" t="e">
        <f t="shared" si="2"/>
        <v>#DIV/0!</v>
      </c>
      <c r="P97" s="272"/>
      <c r="R97"/>
    </row>
    <row r="98" spans="1:18" ht="132.75" thickBot="1">
      <c r="A98" s="562"/>
      <c r="B98" s="207" t="s">
        <v>312</v>
      </c>
      <c r="C98" s="532"/>
      <c r="D98" s="221">
        <v>0</v>
      </c>
      <c r="E98" s="221">
        <v>2</v>
      </c>
      <c r="F98" s="221"/>
      <c r="G98" s="209">
        <f>F98/E98</f>
        <v>0</v>
      </c>
      <c r="H98" s="542"/>
      <c r="I98" s="210">
        <v>0</v>
      </c>
      <c r="J98" s="211">
        <v>0</v>
      </c>
      <c r="K98" s="203" t="e">
        <f t="shared" si="2"/>
        <v>#DIV/0!</v>
      </c>
      <c r="P98" s="272"/>
      <c r="R98"/>
    </row>
    <row r="99" spans="1:18" ht="48.75" thickBot="1">
      <c r="A99" s="73" t="s">
        <v>335</v>
      </c>
      <c r="B99" s="73" t="s">
        <v>343</v>
      </c>
      <c r="C99" s="73">
        <v>1</v>
      </c>
      <c r="D99" s="215">
        <v>0</v>
      </c>
      <c r="E99" s="208" t="s">
        <v>218</v>
      </c>
      <c r="F99" s="208"/>
      <c r="G99" s="209">
        <v>0</v>
      </c>
      <c r="H99" s="267"/>
      <c r="I99" s="210">
        <v>0</v>
      </c>
      <c r="J99" s="211"/>
      <c r="K99" s="203" t="e">
        <f t="shared" si="2"/>
        <v>#DIV/0!</v>
      </c>
      <c r="P99" s="272"/>
      <c r="R99"/>
    </row>
    <row r="100" spans="1:18" ht="36.75" thickBot="1">
      <c r="A100" s="207" t="s">
        <v>171</v>
      </c>
      <c r="B100" s="265" t="s">
        <v>186</v>
      </c>
      <c r="C100" s="265">
        <v>1</v>
      </c>
      <c r="D100" s="221">
        <v>0</v>
      </c>
      <c r="E100" s="221">
        <v>1</v>
      </c>
      <c r="F100" s="221">
        <v>100</v>
      </c>
      <c r="G100" s="209">
        <v>1</v>
      </c>
      <c r="H100" s="267">
        <v>1</v>
      </c>
      <c r="I100" s="210">
        <v>57000000</v>
      </c>
      <c r="J100" s="242">
        <v>42752435</v>
      </c>
      <c r="K100" s="203">
        <f t="shared" si="2"/>
        <v>0.7500427192982456</v>
      </c>
      <c r="P100" s="272"/>
      <c r="R100"/>
    </row>
    <row r="101" spans="1:18" ht="84.75" thickBot="1">
      <c r="A101" s="207" t="s">
        <v>169</v>
      </c>
      <c r="B101" s="207" t="s">
        <v>203</v>
      </c>
      <c r="C101" s="207">
        <v>1</v>
      </c>
      <c r="D101" s="221">
        <v>0</v>
      </c>
      <c r="E101" s="221">
        <v>1</v>
      </c>
      <c r="F101" s="221">
        <v>1</v>
      </c>
      <c r="G101" s="209">
        <v>0.5</v>
      </c>
      <c r="H101" s="267">
        <v>0.5</v>
      </c>
      <c r="I101" s="210">
        <f>484019421-339102848.25</f>
        <v>144916572.75</v>
      </c>
      <c r="J101" s="242">
        <v>0</v>
      </c>
      <c r="K101" s="203">
        <f t="shared" si="2"/>
        <v>0</v>
      </c>
      <c r="P101" s="272"/>
      <c r="R101"/>
    </row>
    <row r="102" spans="1:18" ht="36.75" thickBot="1">
      <c r="A102" s="536" t="s">
        <v>333</v>
      </c>
      <c r="B102" s="266" t="s">
        <v>434</v>
      </c>
      <c r="C102" s="551">
        <v>3</v>
      </c>
      <c r="D102" s="221">
        <v>0</v>
      </c>
      <c r="E102" s="221">
        <v>1</v>
      </c>
      <c r="F102" s="221">
        <v>0</v>
      </c>
      <c r="G102" s="209">
        <v>0</v>
      </c>
      <c r="H102" s="540">
        <v>0.25</v>
      </c>
      <c r="I102" s="210">
        <v>476420191</v>
      </c>
      <c r="J102" s="242">
        <v>0</v>
      </c>
      <c r="K102" s="203">
        <v>0</v>
      </c>
      <c r="P102" s="272"/>
      <c r="R102"/>
    </row>
    <row r="103" spans="1:18" ht="36.75" thickBot="1">
      <c r="A103" s="537"/>
      <c r="B103" s="216" t="s">
        <v>204</v>
      </c>
      <c r="C103" s="552"/>
      <c r="D103" s="221">
        <v>0</v>
      </c>
      <c r="E103" s="213">
        <v>2</v>
      </c>
      <c r="F103" s="213">
        <v>2</v>
      </c>
      <c r="G103" s="209">
        <v>0.5</v>
      </c>
      <c r="H103" s="541"/>
      <c r="I103" s="210">
        <v>100000000</v>
      </c>
      <c r="J103" s="211">
        <v>0</v>
      </c>
      <c r="K103" s="203">
        <f t="shared" si="2"/>
        <v>0</v>
      </c>
      <c r="P103" s="272"/>
      <c r="R103"/>
    </row>
    <row r="104" spans="1:18" ht="36.75" thickBot="1">
      <c r="A104" s="538"/>
      <c r="B104" s="73" t="s">
        <v>340</v>
      </c>
      <c r="C104" s="553"/>
      <c r="D104" s="208">
        <v>1</v>
      </c>
      <c r="E104" s="208" t="s">
        <v>218</v>
      </c>
      <c r="F104" s="208"/>
      <c r="G104" s="209">
        <v>0</v>
      </c>
      <c r="H104" s="542"/>
      <c r="I104" s="210">
        <v>0</v>
      </c>
      <c r="J104" s="211"/>
      <c r="K104" s="203" t="e">
        <f t="shared" si="2"/>
        <v>#DIV/0!</v>
      </c>
      <c r="P104" s="272"/>
      <c r="R104"/>
    </row>
    <row r="105" spans="1:18" ht="48.75" thickBot="1">
      <c r="A105" s="73" t="s">
        <v>206</v>
      </c>
      <c r="B105" s="216" t="s">
        <v>208</v>
      </c>
      <c r="C105" s="216">
        <v>1</v>
      </c>
      <c r="D105" s="221">
        <v>1</v>
      </c>
      <c r="E105" s="221">
        <v>1</v>
      </c>
      <c r="F105" s="221">
        <v>1</v>
      </c>
      <c r="G105" s="209">
        <v>0.005</v>
      </c>
      <c r="H105" s="267">
        <v>0.005</v>
      </c>
      <c r="I105" s="210">
        <v>100000000</v>
      </c>
      <c r="J105" s="211">
        <v>0</v>
      </c>
      <c r="K105" s="203">
        <f t="shared" si="2"/>
        <v>0</v>
      </c>
      <c r="P105" s="272"/>
      <c r="R105"/>
    </row>
    <row r="106" spans="1:18" ht="12.75">
      <c r="A106" s="555" t="s">
        <v>160</v>
      </c>
      <c r="B106" s="557" t="s">
        <v>185</v>
      </c>
      <c r="C106" s="539">
        <v>1</v>
      </c>
      <c r="D106" s="559">
        <v>12</v>
      </c>
      <c r="E106" s="559">
        <v>12</v>
      </c>
      <c r="F106" s="539"/>
      <c r="G106" s="545">
        <f>F106/E106</f>
        <v>0</v>
      </c>
      <c r="H106" s="540">
        <v>0</v>
      </c>
      <c r="I106" s="546">
        <f>3352638251+1092210505</f>
        <v>4444848756</v>
      </c>
      <c r="J106" s="547">
        <v>1157711071</v>
      </c>
      <c r="K106" s="549">
        <f t="shared" si="2"/>
        <v>0.26046129678478536</v>
      </c>
      <c r="P106" s="272"/>
      <c r="R106"/>
    </row>
    <row r="107" spans="1:18" ht="13.5" thickBot="1">
      <c r="A107" s="555"/>
      <c r="B107" s="557"/>
      <c r="C107" s="531"/>
      <c r="D107" s="559"/>
      <c r="E107" s="559"/>
      <c r="F107" s="531"/>
      <c r="G107" s="541"/>
      <c r="H107" s="541"/>
      <c r="I107" s="546"/>
      <c r="J107" s="548"/>
      <c r="K107" s="550"/>
      <c r="P107" s="272"/>
      <c r="R107"/>
    </row>
    <row r="108" spans="1:18" ht="13.5" thickBot="1">
      <c r="A108" s="555"/>
      <c r="B108" s="557"/>
      <c r="C108" s="531"/>
      <c r="D108" s="559"/>
      <c r="E108" s="559"/>
      <c r="F108" s="531"/>
      <c r="G108" s="541"/>
      <c r="H108" s="541"/>
      <c r="I108" s="256">
        <v>11758682</v>
      </c>
      <c r="J108" s="257"/>
      <c r="K108" s="203">
        <f t="shared" si="2"/>
        <v>0</v>
      </c>
      <c r="P108" s="272"/>
      <c r="R108"/>
    </row>
    <row r="109" spans="1:18" ht="13.5" thickBot="1">
      <c r="A109" s="555"/>
      <c r="B109" s="557"/>
      <c r="C109" s="531"/>
      <c r="D109" s="559"/>
      <c r="E109" s="559"/>
      <c r="F109" s="531"/>
      <c r="G109" s="541"/>
      <c r="H109" s="541"/>
      <c r="I109" s="256">
        <v>15532242</v>
      </c>
      <c r="J109" s="257"/>
      <c r="K109" s="203">
        <f t="shared" si="2"/>
        <v>0</v>
      </c>
      <c r="P109" s="272"/>
      <c r="R109"/>
    </row>
    <row r="110" spans="1:18" ht="13.5" thickBot="1">
      <c r="A110" s="555"/>
      <c r="B110" s="557"/>
      <c r="C110" s="531"/>
      <c r="D110" s="559"/>
      <c r="E110" s="559"/>
      <c r="F110" s="531"/>
      <c r="G110" s="541"/>
      <c r="H110" s="541"/>
      <c r="I110" s="256">
        <v>514086198</v>
      </c>
      <c r="J110" s="257"/>
      <c r="K110" s="203">
        <f t="shared" si="2"/>
        <v>0</v>
      </c>
      <c r="P110" s="272"/>
      <c r="R110"/>
    </row>
    <row r="111" spans="1:18" ht="13.5" thickBot="1">
      <c r="A111" s="556"/>
      <c r="B111" s="558"/>
      <c r="C111" s="554"/>
      <c r="D111" s="560"/>
      <c r="E111" s="560"/>
      <c r="F111" s="554"/>
      <c r="G111" s="542"/>
      <c r="H111" s="541"/>
      <c r="I111" s="268">
        <v>415000000</v>
      </c>
      <c r="J111" s="269"/>
      <c r="K111" s="203">
        <f t="shared" si="2"/>
        <v>0</v>
      </c>
      <c r="P111" s="272"/>
      <c r="R111"/>
    </row>
    <row r="118" spans="2:3" ht="13.5" thickBot="1">
      <c r="B118" t="s">
        <v>442</v>
      </c>
      <c r="C118" t="s">
        <v>443</v>
      </c>
    </row>
    <row r="119" spans="2:19" ht="38.25">
      <c r="B119" s="270"/>
      <c r="C119" s="270"/>
      <c r="D119" s="271"/>
      <c r="F119" s="274" t="s">
        <v>155</v>
      </c>
      <c r="G119" s="275">
        <v>2</v>
      </c>
      <c r="H119" s="296">
        <v>0.225</v>
      </c>
      <c r="I119" s="276">
        <f aca="true" t="shared" si="3" ref="I119:I136">B120</f>
        <v>930000000</v>
      </c>
      <c r="J119" s="276">
        <f aca="true" t="shared" si="4" ref="J119:J136">C120</f>
        <v>0</v>
      </c>
      <c r="K119" s="277">
        <f>J119/I119</f>
        <v>0</v>
      </c>
      <c r="Q119"/>
      <c r="S119" s="272"/>
    </row>
    <row r="120" spans="1:19" ht="63.75">
      <c r="A120">
        <v>1</v>
      </c>
      <c r="B120" s="273">
        <f>SUM(I3:I5)</f>
        <v>930000000</v>
      </c>
      <c r="C120" s="273">
        <v>0</v>
      </c>
      <c r="D120" s="271">
        <f>C120/B120</f>
        <v>0</v>
      </c>
      <c r="F120" s="278" t="s">
        <v>168</v>
      </c>
      <c r="G120" s="279">
        <v>1</v>
      </c>
      <c r="H120" s="297">
        <v>0.6</v>
      </c>
      <c r="I120" s="280">
        <f t="shared" si="3"/>
        <v>320000000</v>
      </c>
      <c r="J120" s="281">
        <f t="shared" si="4"/>
        <v>319000028</v>
      </c>
      <c r="K120" s="282">
        <f aca="true" t="shared" si="5" ref="K120:K137">J120/I120</f>
        <v>0.9968750875</v>
      </c>
      <c r="Q120"/>
      <c r="S120" s="272"/>
    </row>
    <row r="121" spans="1:19" ht="38.25">
      <c r="A121">
        <v>2</v>
      </c>
      <c r="B121" s="273">
        <f>I6</f>
        <v>320000000</v>
      </c>
      <c r="C121" s="273">
        <f>J6</f>
        <v>319000028</v>
      </c>
      <c r="D121" s="271">
        <f>C121/B121</f>
        <v>0.9968750875</v>
      </c>
      <c r="F121" s="278" t="s">
        <v>215</v>
      </c>
      <c r="G121" s="283">
        <v>1</v>
      </c>
      <c r="H121" s="298">
        <v>0</v>
      </c>
      <c r="I121" s="281">
        <f t="shared" si="3"/>
        <v>0</v>
      </c>
      <c r="J121" s="281">
        <f t="shared" si="4"/>
        <v>0</v>
      </c>
      <c r="K121" s="282">
        <v>0</v>
      </c>
      <c r="Q121"/>
      <c r="S121" s="272"/>
    </row>
    <row r="122" spans="1:19" ht="12.75">
      <c r="A122">
        <v>3</v>
      </c>
      <c r="B122" s="273">
        <v>0</v>
      </c>
      <c r="C122" s="273">
        <v>0</v>
      </c>
      <c r="D122" s="271">
        <v>0</v>
      </c>
      <c r="F122" s="284" t="s">
        <v>167</v>
      </c>
      <c r="G122" s="283">
        <v>6</v>
      </c>
      <c r="H122" s="298">
        <v>0.3485</v>
      </c>
      <c r="I122" s="281">
        <f t="shared" si="3"/>
        <v>13605722198</v>
      </c>
      <c r="J122" s="281">
        <f t="shared" si="4"/>
        <v>9848453491.02</v>
      </c>
      <c r="K122" s="282">
        <f t="shared" si="5"/>
        <v>0.7238464337062308</v>
      </c>
      <c r="Q122"/>
      <c r="S122" s="272"/>
    </row>
    <row r="123" spans="1:19" ht="76.5">
      <c r="A123">
        <v>4</v>
      </c>
      <c r="B123" s="273">
        <f>SUM(I8:I14)</f>
        <v>13605722198</v>
      </c>
      <c r="C123" s="273">
        <f>SUM(J8:J14)</f>
        <v>9848453491.02</v>
      </c>
      <c r="D123" s="271">
        <f>C123/B123</f>
        <v>0.7238464337062308</v>
      </c>
      <c r="F123" s="285" t="s">
        <v>256</v>
      </c>
      <c r="G123" s="283">
        <v>33</v>
      </c>
      <c r="H123" s="298">
        <v>0.5894</v>
      </c>
      <c r="I123" s="281">
        <f t="shared" si="3"/>
        <v>38904017651.3</v>
      </c>
      <c r="J123" s="281">
        <f t="shared" si="4"/>
        <v>12206874563.79</v>
      </c>
      <c r="K123" s="282">
        <f t="shared" si="5"/>
        <v>0.31376899612788706</v>
      </c>
      <c r="Q123"/>
      <c r="S123" s="272"/>
    </row>
    <row r="124" spans="1:19" ht="63.75">
      <c r="A124">
        <v>5</v>
      </c>
      <c r="B124" s="273">
        <f>SUM(I8:I59)</f>
        <v>38904017651.3</v>
      </c>
      <c r="C124" s="273">
        <f>SUM(J8:J59)</f>
        <v>12206874563.79</v>
      </c>
      <c r="D124" s="271">
        <f>C124/B124</f>
        <v>0.31376899612788706</v>
      </c>
      <c r="F124" s="278" t="s">
        <v>327</v>
      </c>
      <c r="G124" s="283">
        <v>1</v>
      </c>
      <c r="H124" s="298">
        <v>0</v>
      </c>
      <c r="I124" s="281">
        <f t="shared" si="3"/>
        <v>0</v>
      </c>
      <c r="J124" s="281">
        <f t="shared" si="4"/>
        <v>0</v>
      </c>
      <c r="K124" s="282">
        <v>0</v>
      </c>
      <c r="Q124"/>
      <c r="S124" s="272"/>
    </row>
    <row r="125" spans="1:19" ht="76.5">
      <c r="A125">
        <v>6</v>
      </c>
      <c r="B125" s="273">
        <v>0</v>
      </c>
      <c r="C125" s="273">
        <v>0</v>
      </c>
      <c r="D125" s="271">
        <v>0</v>
      </c>
      <c r="F125" s="284" t="s">
        <v>166</v>
      </c>
      <c r="G125" s="283">
        <v>2</v>
      </c>
      <c r="H125" s="298">
        <v>0</v>
      </c>
      <c r="I125" s="281">
        <f t="shared" si="3"/>
        <v>0</v>
      </c>
      <c r="J125" s="281">
        <f t="shared" si="4"/>
        <v>0</v>
      </c>
      <c r="K125" s="282">
        <v>0</v>
      </c>
      <c r="Q125"/>
      <c r="S125" s="272"/>
    </row>
    <row r="126" spans="1:19" ht="51">
      <c r="A126">
        <v>7</v>
      </c>
      <c r="B126" s="273">
        <v>0</v>
      </c>
      <c r="C126" s="273">
        <v>0</v>
      </c>
      <c r="D126" s="271">
        <v>0</v>
      </c>
      <c r="F126" s="284" t="s">
        <v>216</v>
      </c>
      <c r="G126" s="283">
        <v>7</v>
      </c>
      <c r="H126" s="298">
        <v>0.475</v>
      </c>
      <c r="I126" s="281">
        <f t="shared" si="3"/>
        <v>6417218627.95</v>
      </c>
      <c r="J126" s="281">
        <f t="shared" si="4"/>
        <v>410666624.95</v>
      </c>
      <c r="K126" s="282">
        <f t="shared" si="5"/>
        <v>0.06399448869660666</v>
      </c>
      <c r="Q126"/>
      <c r="S126" s="272"/>
    </row>
    <row r="127" spans="1:19" ht="89.25">
      <c r="A127">
        <v>8</v>
      </c>
      <c r="B127" s="273">
        <f>SUM(I63:I73)</f>
        <v>6417218627.95</v>
      </c>
      <c r="C127" s="273">
        <f>SUM(J63:J73)</f>
        <v>410666624.95</v>
      </c>
      <c r="D127" s="271">
        <f>C127/B127</f>
        <v>0.06399448869660666</v>
      </c>
      <c r="F127" s="278" t="s">
        <v>444</v>
      </c>
      <c r="G127" s="283">
        <v>1</v>
      </c>
      <c r="H127" s="298">
        <v>0.04</v>
      </c>
      <c r="I127" s="281">
        <f t="shared" si="3"/>
        <v>80000000</v>
      </c>
      <c r="J127" s="281">
        <f t="shared" si="4"/>
        <v>0</v>
      </c>
      <c r="K127" s="282">
        <f t="shared" si="5"/>
        <v>0</v>
      </c>
      <c r="Q127"/>
      <c r="S127" s="272"/>
    </row>
    <row r="128" spans="1:19" ht="102">
      <c r="A128">
        <v>9</v>
      </c>
      <c r="B128" s="273">
        <f>I74</f>
        <v>80000000</v>
      </c>
      <c r="C128" s="273">
        <v>0</v>
      </c>
      <c r="D128" s="271">
        <f>C128/B128</f>
        <v>0</v>
      </c>
      <c r="F128" s="284" t="s">
        <v>172</v>
      </c>
      <c r="G128" s="283">
        <v>18</v>
      </c>
      <c r="H128" s="298">
        <v>0.5713</v>
      </c>
      <c r="I128" s="281">
        <f t="shared" si="3"/>
        <v>2145157108.999999</v>
      </c>
      <c r="J128" s="281">
        <f t="shared" si="4"/>
        <v>1053903109</v>
      </c>
      <c r="K128" s="282">
        <f t="shared" si="5"/>
        <v>0.4912941362561993</v>
      </c>
      <c r="Q128"/>
      <c r="S128" s="272"/>
    </row>
    <row r="129" spans="1:19" ht="38.25">
      <c r="A129">
        <v>10</v>
      </c>
      <c r="B129" s="273">
        <f>SUM(I75:I93)</f>
        <v>2145157108.999999</v>
      </c>
      <c r="C129" s="273">
        <f>SUM(J75:J93)</f>
        <v>1053903109</v>
      </c>
      <c r="D129" s="271">
        <f>C129/B129</f>
        <v>0.4912941362561993</v>
      </c>
      <c r="F129" s="278" t="s">
        <v>337</v>
      </c>
      <c r="G129" s="283">
        <v>1</v>
      </c>
      <c r="H129" s="298">
        <v>0</v>
      </c>
      <c r="I129" s="281">
        <f t="shared" si="3"/>
        <v>0</v>
      </c>
      <c r="J129" s="281">
        <f t="shared" si="4"/>
        <v>0</v>
      </c>
      <c r="K129" s="282">
        <v>0</v>
      </c>
      <c r="Q129"/>
      <c r="S129" s="272"/>
    </row>
    <row r="130" spans="1:19" ht="51">
      <c r="A130">
        <v>11</v>
      </c>
      <c r="B130" s="273">
        <f>SUM(I94)</f>
        <v>0</v>
      </c>
      <c r="C130" s="273">
        <v>0</v>
      </c>
      <c r="D130" s="271">
        <v>0</v>
      </c>
      <c r="F130" s="285" t="s">
        <v>217</v>
      </c>
      <c r="G130" s="283">
        <v>4</v>
      </c>
      <c r="H130" s="298">
        <v>0.2575</v>
      </c>
      <c r="I130" s="281">
        <f t="shared" si="3"/>
        <v>150000000</v>
      </c>
      <c r="J130" s="281">
        <f t="shared" si="4"/>
        <v>22400000</v>
      </c>
      <c r="K130" s="282">
        <f t="shared" si="5"/>
        <v>0.14933333333333335</v>
      </c>
      <c r="Q130"/>
      <c r="S130" s="272"/>
    </row>
    <row r="131" spans="1:19" ht="51">
      <c r="A131">
        <v>12</v>
      </c>
      <c r="B131" s="273">
        <f>SUM(I95:I98)</f>
        <v>150000000</v>
      </c>
      <c r="C131" s="273">
        <f>SUM(J95:J98)</f>
        <v>22400000</v>
      </c>
      <c r="D131" s="271">
        <f>C131/B131</f>
        <v>0.14933333333333335</v>
      </c>
      <c r="F131" s="278" t="s">
        <v>335</v>
      </c>
      <c r="G131" s="283">
        <v>1</v>
      </c>
      <c r="H131" s="298">
        <v>0</v>
      </c>
      <c r="I131" s="281">
        <f t="shared" si="3"/>
        <v>0</v>
      </c>
      <c r="J131" s="281">
        <f t="shared" si="4"/>
        <v>0</v>
      </c>
      <c r="K131" s="282">
        <v>0</v>
      </c>
      <c r="Q131"/>
      <c r="S131" s="272"/>
    </row>
    <row r="132" spans="1:19" ht="38.25">
      <c r="A132">
        <v>13</v>
      </c>
      <c r="B132" s="273">
        <v>0</v>
      </c>
      <c r="C132" s="273">
        <v>0</v>
      </c>
      <c r="D132" s="271">
        <v>0</v>
      </c>
      <c r="F132" s="278" t="s">
        <v>171</v>
      </c>
      <c r="G132" s="283">
        <v>1</v>
      </c>
      <c r="H132" s="298">
        <v>1</v>
      </c>
      <c r="I132" s="281">
        <f t="shared" si="3"/>
        <v>57000000</v>
      </c>
      <c r="J132" s="281">
        <f t="shared" si="4"/>
        <v>42752435</v>
      </c>
      <c r="K132" s="282">
        <f t="shared" si="5"/>
        <v>0.7500427192982456</v>
      </c>
      <c r="Q132"/>
      <c r="S132" s="272"/>
    </row>
    <row r="133" spans="1:19" ht="38.25">
      <c r="A133">
        <v>14</v>
      </c>
      <c r="B133" s="273">
        <f>I100</f>
        <v>57000000</v>
      </c>
      <c r="C133" s="273">
        <f>J100</f>
        <v>42752435</v>
      </c>
      <c r="D133" s="271">
        <f>C133/B133</f>
        <v>0.7500427192982456</v>
      </c>
      <c r="F133" s="278" t="s">
        <v>169</v>
      </c>
      <c r="G133" s="283">
        <v>1</v>
      </c>
      <c r="H133" s="298">
        <v>0.5</v>
      </c>
      <c r="I133" s="281">
        <f t="shared" si="3"/>
        <v>144916572.75</v>
      </c>
      <c r="J133" s="281">
        <f t="shared" si="4"/>
        <v>0</v>
      </c>
      <c r="K133" s="282">
        <f t="shared" si="5"/>
        <v>0</v>
      </c>
      <c r="Q133"/>
      <c r="S133" s="272"/>
    </row>
    <row r="134" spans="1:19" ht="25.5">
      <c r="A134">
        <v>15</v>
      </c>
      <c r="B134" s="273">
        <f>I101</f>
        <v>144916572.75</v>
      </c>
      <c r="C134" s="273">
        <v>0</v>
      </c>
      <c r="D134" s="271">
        <f>C134/B134</f>
        <v>0</v>
      </c>
      <c r="F134" s="284" t="s">
        <v>333</v>
      </c>
      <c r="G134" s="279">
        <v>3</v>
      </c>
      <c r="H134" s="297">
        <v>0.25</v>
      </c>
      <c r="I134" s="281">
        <f t="shared" si="3"/>
        <v>576420191</v>
      </c>
      <c r="J134" s="281">
        <f t="shared" si="4"/>
        <v>0</v>
      </c>
      <c r="K134" s="282">
        <f t="shared" si="5"/>
        <v>0</v>
      </c>
      <c r="Q134"/>
      <c r="S134" s="272"/>
    </row>
    <row r="135" spans="1:19" ht="51">
      <c r="A135">
        <v>16</v>
      </c>
      <c r="B135" s="273">
        <f>SUM(I102:I104)</f>
        <v>576420191</v>
      </c>
      <c r="C135" s="273">
        <f>SUM(J102:J104)</f>
        <v>0</v>
      </c>
      <c r="D135" s="271">
        <f>C135/B135</f>
        <v>0</v>
      </c>
      <c r="F135" s="278" t="s">
        <v>206</v>
      </c>
      <c r="G135" s="283">
        <v>1</v>
      </c>
      <c r="H135" s="298">
        <v>0.005</v>
      </c>
      <c r="I135" s="281">
        <f t="shared" si="3"/>
        <v>100000000</v>
      </c>
      <c r="J135" s="281">
        <f t="shared" si="4"/>
        <v>0</v>
      </c>
      <c r="K135" s="282">
        <f t="shared" si="5"/>
        <v>0</v>
      </c>
      <c r="Q135"/>
      <c r="S135" s="272"/>
    </row>
    <row r="136" spans="1:19" ht="90" thickBot="1">
      <c r="A136">
        <v>17</v>
      </c>
      <c r="B136" s="273">
        <f>I105</f>
        <v>100000000</v>
      </c>
      <c r="C136" s="273">
        <v>0</v>
      </c>
      <c r="D136" s="271">
        <f>C136/B136</f>
        <v>0</v>
      </c>
      <c r="F136" s="286" t="s">
        <v>160</v>
      </c>
      <c r="G136" s="287">
        <v>1</v>
      </c>
      <c r="H136" s="299">
        <v>0</v>
      </c>
      <c r="I136" s="288">
        <f t="shared" si="3"/>
        <v>5401225878</v>
      </c>
      <c r="J136" s="288">
        <f t="shared" si="4"/>
        <v>1157711071</v>
      </c>
      <c r="K136" s="289">
        <f t="shared" si="5"/>
        <v>0.21434228028039526</v>
      </c>
      <c r="Q136"/>
      <c r="S136" s="272"/>
    </row>
    <row r="137" spans="1:19" ht="13.5" thickBot="1">
      <c r="A137">
        <v>18</v>
      </c>
      <c r="B137" s="273">
        <f>SUM(I106:I111)</f>
        <v>5401225878</v>
      </c>
      <c r="C137" s="273">
        <f>SUM(J106:J111)</f>
        <v>1157711071</v>
      </c>
      <c r="D137" s="271">
        <f>C137/B137</f>
        <v>0.21434228028039526</v>
      </c>
      <c r="F137" s="290"/>
      <c r="G137" s="290"/>
      <c r="H137" s="290"/>
      <c r="I137" s="291">
        <f>SUM(I119:I136)</f>
        <v>68831678228</v>
      </c>
      <c r="J137" s="292">
        <f>SUM(J119:J136)</f>
        <v>25061761322.760002</v>
      </c>
      <c r="K137" s="293">
        <f t="shared" si="5"/>
        <v>0.3641021397116705</v>
      </c>
      <c r="Q137"/>
      <c r="S137" s="272"/>
    </row>
    <row r="138" spans="2:10" ht="13.5" thickBot="1">
      <c r="B138" s="270"/>
      <c r="C138" s="270"/>
      <c r="D138" s="270"/>
      <c r="F138" s="290"/>
      <c r="G138" s="290"/>
      <c r="H138" s="290"/>
      <c r="I138" s="290"/>
      <c r="J138" s="289">
        <v>1</v>
      </c>
    </row>
    <row r="139" spans="1:10" ht="13.5" thickBot="1">
      <c r="A139">
        <f aca="true" t="array" ref="A139">A121:D139</f>
        <v>2</v>
      </c>
      <c r="B139" s="270"/>
      <c r="C139" s="270"/>
      <c r="D139" s="270"/>
      <c r="F139" s="290"/>
      <c r="G139" s="290"/>
      <c r="H139" s="290"/>
      <c r="I139" s="290"/>
      <c r="J139" s="289">
        <v>0</v>
      </c>
    </row>
  </sheetData>
  <sheetProtection/>
  <autoFilter ref="G1:G139"/>
  <mergeCells count="83">
    <mergeCell ref="B1:B2"/>
    <mergeCell ref="D1:D2"/>
    <mergeCell ref="E1:E2"/>
    <mergeCell ref="F1:F2"/>
    <mergeCell ref="F3:F4"/>
    <mergeCell ref="G3:G4"/>
    <mergeCell ref="A8:A14"/>
    <mergeCell ref="I1:I2"/>
    <mergeCell ref="J1:J2"/>
    <mergeCell ref="A3:A5"/>
    <mergeCell ref="B3:B4"/>
    <mergeCell ref="D3:D4"/>
    <mergeCell ref="E3:E4"/>
    <mergeCell ref="A1:A2"/>
    <mergeCell ref="E24:E25"/>
    <mergeCell ref="F24:F25"/>
    <mergeCell ref="G24:G25"/>
    <mergeCell ref="B12:B13"/>
    <mergeCell ref="D12:D13"/>
    <mergeCell ref="E12:E13"/>
    <mergeCell ref="F12:F13"/>
    <mergeCell ref="G12:G13"/>
    <mergeCell ref="E42:E51"/>
    <mergeCell ref="F42:F51"/>
    <mergeCell ref="G42:G51"/>
    <mergeCell ref="B26:B27"/>
    <mergeCell ref="D26:D27"/>
    <mergeCell ref="E26:E27"/>
    <mergeCell ref="F26:F27"/>
    <mergeCell ref="G26:G27"/>
    <mergeCell ref="A61:A62"/>
    <mergeCell ref="A63:A73"/>
    <mergeCell ref="B64:B66"/>
    <mergeCell ref="D64:D66"/>
    <mergeCell ref="B33:B34"/>
    <mergeCell ref="B42:B51"/>
    <mergeCell ref="D42:D51"/>
    <mergeCell ref="A15:A59"/>
    <mergeCell ref="B24:B25"/>
    <mergeCell ref="D24:D25"/>
    <mergeCell ref="E64:E66"/>
    <mergeCell ref="F64:F66"/>
    <mergeCell ref="G64:G66"/>
    <mergeCell ref="B71:B73"/>
    <mergeCell ref="D71:D73"/>
    <mergeCell ref="E71:E73"/>
    <mergeCell ref="F71:F73"/>
    <mergeCell ref="G71:G73"/>
    <mergeCell ref="A95:A98"/>
    <mergeCell ref="A75:A93"/>
    <mergeCell ref="B75:B76"/>
    <mergeCell ref="D75:D76"/>
    <mergeCell ref="E75:E76"/>
    <mergeCell ref="F75:F76"/>
    <mergeCell ref="A106:A111"/>
    <mergeCell ref="B106:B111"/>
    <mergeCell ref="D106:D111"/>
    <mergeCell ref="E106:E111"/>
    <mergeCell ref="F106:F111"/>
    <mergeCell ref="G106:G111"/>
    <mergeCell ref="H75:H93"/>
    <mergeCell ref="I106:I107"/>
    <mergeCell ref="J106:J107"/>
    <mergeCell ref="K106:K107"/>
    <mergeCell ref="C102:C104"/>
    <mergeCell ref="C106:C111"/>
    <mergeCell ref="G75:G76"/>
    <mergeCell ref="H95:H98"/>
    <mergeCell ref="H106:H111"/>
    <mergeCell ref="A102:A104"/>
    <mergeCell ref="H102:H104"/>
    <mergeCell ref="C95:C98"/>
    <mergeCell ref="H1:H2"/>
    <mergeCell ref="H3:H5"/>
    <mergeCell ref="H8:H14"/>
    <mergeCell ref="H16:H59"/>
    <mergeCell ref="H63:H73"/>
    <mergeCell ref="C3:C5"/>
    <mergeCell ref="C8:C14"/>
    <mergeCell ref="C15:C59"/>
    <mergeCell ref="C61:C62"/>
    <mergeCell ref="C63:C73"/>
    <mergeCell ref="C75:C93"/>
  </mergeCells>
  <conditionalFormatting sqref="G1:H1 G2">
    <cfRule type="colorScale" priority="9" dxfId="0">
      <colorScale>
        <cfvo type="percent" val="50"/>
        <cfvo type="percent" val="75"/>
        <cfvo type="percent" val="100"/>
        <color rgb="FFFF0000"/>
        <color rgb="FFFFFF00"/>
        <color rgb="FF92D050"/>
      </colorScale>
    </cfRule>
  </conditionalFormatting>
  <conditionalFormatting sqref="G3:H3 G94:H95 G74:H75 G67:G71 G60:H63 G30:G43 G26 G15:H16 G6:H8 G4:G5 G9:G12 G14 G17:G24 G53:G59 G77:G93 G96:G98 G105:H106 G103:G104 G99:H102">
    <cfRule type="colorScale" priority="8" dxfId="0">
      <colorScale>
        <cfvo type="percent" val="50"/>
        <cfvo type="percent" val="75"/>
        <cfvo type="percent" val="100"/>
        <color rgb="FFFF0000"/>
        <color rgb="FFFFFF00"/>
        <color rgb="FF92D050"/>
      </colorScale>
    </cfRule>
  </conditionalFormatting>
  <conditionalFormatting sqref="K108:K111 K3:K106">
    <cfRule type="colorScale" priority="7" dxfId="0">
      <colorScale>
        <cfvo type="percent" val="50"/>
        <cfvo type="percent" val="75"/>
        <cfvo type="percent" val="100"/>
        <color rgb="FFFF0000"/>
        <color rgb="FFFFFF00"/>
        <color rgb="FF92D050"/>
      </colorScale>
    </cfRule>
  </conditionalFormatting>
  <conditionalFormatting sqref="G3:H3 G6:H8 G4:G5 G15:H16 G9:G14 G60:H63 G17:G59 G74:H75 G64:G73 G94:H95 G76:G93 G96:G98 G105:H106 G107:G111 G103:G104 G99:H102">
    <cfRule type="colorScale" priority="6" dxfId="0">
      <colorScale>
        <cfvo type="percent" val="50"/>
        <cfvo type="percent" val="75"/>
        <cfvo type="percent" val="100"/>
        <color rgb="FFFF0000"/>
        <color rgb="FFFFFF00"/>
        <color rgb="FF92D050"/>
      </colorScale>
    </cfRule>
  </conditionalFormatting>
  <conditionalFormatting sqref="K3:K111">
    <cfRule type="colorScale" priority="5" dxfId="0">
      <colorScale>
        <cfvo type="percent" val="50"/>
        <cfvo type="percent" val="75"/>
        <cfvo type="percent" val="100"/>
        <color rgb="FFFF0000"/>
        <color rgb="FFFFFF00"/>
        <color rgb="FF92D050"/>
      </colorScale>
    </cfRule>
  </conditionalFormatting>
  <conditionalFormatting sqref="K119:K136">
    <cfRule type="colorScale" priority="4" dxfId="0">
      <colorScale>
        <cfvo type="percent" val="25"/>
        <cfvo type="percent" val="50"/>
        <cfvo type="percent" val="100"/>
        <color rgb="FFFF0000"/>
        <color rgb="FFFFFF00"/>
        <color rgb="FF92D050"/>
      </colorScale>
    </cfRule>
  </conditionalFormatting>
  <conditionalFormatting sqref="K137">
    <cfRule type="colorScale" priority="3" dxfId="0">
      <colorScale>
        <cfvo type="percent" val="25"/>
        <cfvo type="percent" val="50"/>
        <cfvo type="percent" val="100"/>
        <color rgb="FFFF0000"/>
        <color rgb="FFFFFF00"/>
        <color rgb="FF92D050"/>
      </colorScale>
    </cfRule>
  </conditionalFormatting>
  <conditionalFormatting sqref="J138:J139 K119:K137">
    <cfRule type="colorScale" priority="2" dxfId="0">
      <colorScale>
        <cfvo type="percent" val="25"/>
        <cfvo type="percent" val="50"/>
        <cfvo type="percent" val="100"/>
        <color rgb="FFFF0000"/>
        <color rgb="FFFFFF00"/>
        <color rgb="FF92D050"/>
      </colorScale>
    </cfRule>
  </conditionalFormatting>
  <conditionalFormatting sqref="J138:J139">
    <cfRule type="colorScale" priority="1" dxfId="0">
      <colorScale>
        <cfvo type="percent" val="25"/>
        <cfvo type="percent" val="50"/>
        <cfvo type="percent" val="100"/>
        <color rgb="FFFF0000"/>
        <color rgb="FFFFFF00"/>
        <color rgb="FF92D050"/>
      </colorScale>
    </cfRule>
  </conditionalFormatting>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2021-11-04T17:29:13Z</cp:lastPrinted>
  <dcterms:created xsi:type="dcterms:W3CDTF">2012-06-01T17:13:38Z</dcterms:created>
  <dcterms:modified xsi:type="dcterms:W3CDTF">2021-11-04T17:31:34Z</dcterms:modified>
  <cp:category/>
  <cp:version/>
  <cp:contentType/>
  <cp:contentStatus/>
</cp:coreProperties>
</file>